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ipal\Documents\docs 2022\conv udenar\udenar 2021 a\materias\formulacion y evaluación proyectos\"/>
    </mc:Choice>
  </mc:AlternateContent>
  <xr:revisionPtr revIDLastSave="0" documentId="13_ncr:1_{6A3AEFB1-1F20-46D6-8484-FA0FB85CEB62}" xr6:coauthVersionLast="47" xr6:coauthVersionMax="47" xr10:uidLastSave="{00000000-0000-0000-0000-000000000000}"/>
  <bookViews>
    <workbookView xWindow="-120" yWindow="-120" windowWidth="20730" windowHeight="11160" tabRatio="914" firstSheet="2" activeTab="8" xr2:uid="{00000000-000D-0000-FFFF-FFFF00000000}"/>
  </bookViews>
  <sheets>
    <sheet name="INSTRUCCIONES" sheetId="9" r:id="rId1"/>
    <sheet name="Presupuesto_Inversiones" sheetId="2" r:id="rId2"/>
    <sheet name="Depreciaciones" sheetId="10" r:id="rId3"/>
    <sheet name="Presupuesto_Ventas" sheetId="1" r:id="rId4"/>
    <sheet name="Presupuesto_CostosVariables" sheetId="3" r:id="rId5"/>
    <sheet name="Presupuesto_CostosFijos" sheetId="4" r:id="rId6"/>
    <sheet name="Estado_Resultados" sheetId="5" r:id="rId7"/>
    <sheet name="Flujo_Efectivo" sheetId="6" r:id="rId8"/>
    <sheet name="Indicadores_Rentabilidad" sheetId="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D4" i="1"/>
  <c r="C5" i="7"/>
  <c r="H4" i="3" l="1"/>
  <c r="C24" i="2"/>
  <c r="C14" i="6" s="1"/>
  <c r="K19" i="4"/>
  <c r="L19" i="4" s="1"/>
  <c r="M19" i="4" s="1"/>
  <c r="C4" i="4"/>
  <c r="L18" i="4"/>
  <c r="M18" i="4" s="1"/>
  <c r="C15" i="6" l="1"/>
  <c r="E4" i="1" l="1"/>
  <c r="F4" i="1" s="1"/>
  <c r="G4" i="1" s="1"/>
  <c r="H4" i="1" s="1"/>
  <c r="W6" i="10"/>
  <c r="W7" i="10"/>
  <c r="W8" i="10"/>
  <c r="W9" i="10"/>
  <c r="W10" i="10"/>
  <c r="W11" i="10"/>
  <c r="W12" i="10"/>
  <c r="W13" i="10"/>
  <c r="W14" i="10"/>
  <c r="W15" i="10"/>
  <c r="W16" i="10"/>
  <c r="W5" i="10"/>
  <c r="U6" i="10"/>
  <c r="U7" i="10"/>
  <c r="U8" i="10"/>
  <c r="U9" i="10"/>
  <c r="U10" i="10"/>
  <c r="U11" i="10"/>
  <c r="U12" i="10"/>
  <c r="U13" i="10"/>
  <c r="U14" i="10"/>
  <c r="U15" i="10"/>
  <c r="U16" i="10"/>
  <c r="U5" i="10"/>
  <c r="R6" i="10"/>
  <c r="R7" i="10"/>
  <c r="R8" i="10"/>
  <c r="R9" i="10"/>
  <c r="R10" i="10"/>
  <c r="R11" i="10"/>
  <c r="R12" i="10"/>
  <c r="R13" i="10"/>
  <c r="R14" i="10"/>
  <c r="R15" i="10"/>
  <c r="R16" i="10"/>
  <c r="R5" i="10"/>
  <c r="N6" i="10"/>
  <c r="N7" i="10"/>
  <c r="N8" i="10"/>
  <c r="N9" i="10"/>
  <c r="N10" i="10"/>
  <c r="N11" i="10"/>
  <c r="N12" i="10"/>
  <c r="N13" i="10"/>
  <c r="N14" i="10"/>
  <c r="N15" i="10"/>
  <c r="N16" i="10"/>
  <c r="N5" i="10"/>
  <c r="I6" i="10"/>
  <c r="I7" i="10"/>
  <c r="I8" i="10"/>
  <c r="I9" i="10"/>
  <c r="I10" i="10"/>
  <c r="I11" i="10"/>
  <c r="I12" i="10"/>
  <c r="I13" i="10"/>
  <c r="I14" i="10"/>
  <c r="I15" i="10"/>
  <c r="I16" i="10"/>
  <c r="I5" i="10"/>
  <c r="C6" i="10"/>
  <c r="C7" i="10"/>
  <c r="C8" i="10"/>
  <c r="C9" i="10"/>
  <c r="C10" i="10"/>
  <c r="C11" i="10"/>
  <c r="C12" i="10"/>
  <c r="C13" i="10"/>
  <c r="C14" i="10"/>
  <c r="C15" i="10"/>
  <c r="C16" i="10"/>
  <c r="C5" i="10"/>
  <c r="Y6" i="10"/>
  <c r="Q6" i="10" s="1"/>
  <c r="Y7" i="10"/>
  <c r="K7" i="10" s="1"/>
  <c r="Y8" i="10"/>
  <c r="T8" i="10" s="1"/>
  <c r="Y9" i="10"/>
  <c r="Y10" i="10"/>
  <c r="T10" i="10" s="1"/>
  <c r="Y11" i="10"/>
  <c r="T11" i="10" s="1"/>
  <c r="Y12" i="10"/>
  <c r="L12" i="10" s="1"/>
  <c r="Y13" i="10"/>
  <c r="V13" i="10" s="1"/>
  <c r="Y14" i="10"/>
  <c r="T14" i="10" s="1"/>
  <c r="Y15" i="10"/>
  <c r="G15" i="10" s="1"/>
  <c r="Y16" i="10"/>
  <c r="P16" i="10" s="1"/>
  <c r="Y5" i="10"/>
  <c r="V5" i="10" s="1"/>
  <c r="T9" i="10"/>
  <c r="Q15" i="10"/>
  <c r="H15" i="10" l="1"/>
  <c r="K15" i="10"/>
  <c r="V8" i="10"/>
  <c r="F17" i="1"/>
  <c r="F16" i="3" s="1"/>
  <c r="M7" i="10"/>
  <c r="H7" i="10"/>
  <c r="V7" i="10"/>
  <c r="O7" i="10"/>
  <c r="V9" i="10"/>
  <c r="H11" i="10"/>
  <c r="Q10" i="10"/>
  <c r="V6" i="10"/>
  <c r="M5" i="10"/>
  <c r="O16" i="10"/>
  <c r="D15" i="10"/>
  <c r="Z15" i="10" s="1"/>
  <c r="D11" i="10"/>
  <c r="Z11" i="10" s="1"/>
  <c r="J11" i="10"/>
  <c r="O11" i="10"/>
  <c r="S11" i="10"/>
  <c r="L5" i="10"/>
  <c r="O5" i="10"/>
  <c r="T15" i="10"/>
  <c r="L10" i="10"/>
  <c r="AC15" i="10"/>
  <c r="J8" i="10"/>
  <c r="J7" i="10"/>
  <c r="S15" i="10"/>
  <c r="G11" i="10"/>
  <c r="K11" i="10"/>
  <c r="L7" i="10"/>
  <c r="D8" i="10"/>
  <c r="Z8" i="10" s="1"/>
  <c r="D7" i="10"/>
  <c r="Z7" i="10" s="1"/>
  <c r="V15" i="10"/>
  <c r="E16" i="10"/>
  <c r="E8" i="10"/>
  <c r="J15" i="10"/>
  <c r="D12" i="10"/>
  <c r="Z12" i="10" s="1"/>
  <c r="J16" i="10"/>
  <c r="M12" i="10"/>
  <c r="O15" i="10"/>
  <c r="S7" i="10"/>
  <c r="F15" i="10"/>
  <c r="F11" i="10"/>
  <c r="F7" i="10"/>
  <c r="M15" i="10"/>
  <c r="AD15" i="10" s="1"/>
  <c r="K12" i="10"/>
  <c r="P15" i="10"/>
  <c r="Q7" i="10"/>
  <c r="T7" i="10"/>
  <c r="G16" i="10"/>
  <c r="E15" i="10"/>
  <c r="H8" i="10"/>
  <c r="E7" i="10"/>
  <c r="AA7" i="10" s="1"/>
  <c r="L15" i="10"/>
  <c r="M11" i="10"/>
  <c r="P11" i="10"/>
  <c r="P7" i="10"/>
  <c r="S14" i="10"/>
  <c r="U17" i="10"/>
  <c r="J12" i="10"/>
  <c r="S16" i="10"/>
  <c r="F5" i="10"/>
  <c r="H12" i="10"/>
  <c r="L16" i="10"/>
  <c r="P5" i="10"/>
  <c r="G5" i="10"/>
  <c r="F12" i="10"/>
  <c r="E11" i="10"/>
  <c r="G7" i="10"/>
  <c r="L11" i="10"/>
  <c r="L8" i="10"/>
  <c r="Q16" i="10"/>
  <c r="T16" i="10"/>
  <c r="D14" i="10"/>
  <c r="Z14" i="10" s="1"/>
  <c r="S10" i="10"/>
  <c r="V14" i="10"/>
  <c r="W17" i="10"/>
  <c r="Q12" i="10"/>
  <c r="F16" i="10"/>
  <c r="AB16" i="10" s="1"/>
  <c r="G12" i="10"/>
  <c r="G8" i="10"/>
  <c r="M16" i="10"/>
  <c r="K14" i="10"/>
  <c r="K8" i="10"/>
  <c r="P12" i="10"/>
  <c r="Q8" i="10"/>
  <c r="P6" i="10"/>
  <c r="D10" i="10"/>
  <c r="Z10" i="10" s="1"/>
  <c r="D6" i="10"/>
  <c r="Z6" i="10" s="1"/>
  <c r="J14" i="10"/>
  <c r="J10" i="10"/>
  <c r="J6" i="10"/>
  <c r="O14" i="10"/>
  <c r="O10" i="10"/>
  <c r="O6" i="10"/>
  <c r="S6" i="10"/>
  <c r="V10" i="10"/>
  <c r="H16" i="10"/>
  <c r="G14" i="10"/>
  <c r="F10" i="10"/>
  <c r="AB10" i="10" s="1"/>
  <c r="F6" i="10"/>
  <c r="K16" i="10"/>
  <c r="M8" i="10"/>
  <c r="M6" i="10"/>
  <c r="D5" i="10"/>
  <c r="Z5" i="10" s="1"/>
  <c r="J13" i="10"/>
  <c r="J9" i="10"/>
  <c r="F14" i="10"/>
  <c r="E10" i="10"/>
  <c r="P10" i="10"/>
  <c r="T6" i="10"/>
  <c r="X5" i="10"/>
  <c r="H5" i="10"/>
  <c r="E14" i="10"/>
  <c r="AA14" i="10" s="1"/>
  <c r="H10" i="10"/>
  <c r="G9" i="10"/>
  <c r="H6" i="10"/>
  <c r="J5" i="10"/>
  <c r="M14" i="10"/>
  <c r="K6" i="10"/>
  <c r="Q5" i="10"/>
  <c r="P14" i="10"/>
  <c r="T5" i="10"/>
  <c r="D16" i="10"/>
  <c r="Z16" i="10" s="1"/>
  <c r="E12" i="10"/>
  <c r="C17" i="10"/>
  <c r="O12" i="10"/>
  <c r="O8" i="10"/>
  <c r="S12" i="10"/>
  <c r="R17" i="10"/>
  <c r="V16" i="10"/>
  <c r="V12" i="10"/>
  <c r="E6" i="10"/>
  <c r="K10" i="10"/>
  <c r="L6" i="10"/>
  <c r="Q14" i="10"/>
  <c r="G13" i="10"/>
  <c r="T13" i="10"/>
  <c r="E5" i="10"/>
  <c r="H14" i="10"/>
  <c r="AD14" i="10" s="1"/>
  <c r="G10" i="10"/>
  <c r="G6" i="10"/>
  <c r="I17" i="10"/>
  <c r="K5" i="10"/>
  <c r="L14" i="10"/>
  <c r="M10" i="10"/>
  <c r="Q11" i="10"/>
  <c r="V11" i="10"/>
  <c r="T12" i="10"/>
  <c r="S8" i="10"/>
  <c r="N17" i="10"/>
  <c r="P8" i="10"/>
  <c r="F8" i="10"/>
  <c r="F13" i="10"/>
  <c r="F9" i="10"/>
  <c r="M13" i="10"/>
  <c r="M9" i="10"/>
  <c r="Q13" i="10"/>
  <c r="Q9" i="10"/>
  <c r="S13" i="10"/>
  <c r="S9" i="10"/>
  <c r="L9" i="10"/>
  <c r="P13" i="10"/>
  <c r="P9" i="10"/>
  <c r="E13" i="10"/>
  <c r="AA13" i="10" s="1"/>
  <c r="E9" i="10"/>
  <c r="L13" i="10"/>
  <c r="H13" i="10"/>
  <c r="H9" i="10"/>
  <c r="D13" i="10"/>
  <c r="Z13" i="10" s="1"/>
  <c r="D9" i="10"/>
  <c r="Z9" i="10" s="1"/>
  <c r="K13" i="10"/>
  <c r="K9" i="10"/>
  <c r="O13" i="10"/>
  <c r="O9" i="10"/>
  <c r="S5" i="10"/>
  <c r="X16" i="10"/>
  <c r="X15" i="10"/>
  <c r="X14" i="10"/>
  <c r="X13" i="10"/>
  <c r="X12" i="10"/>
  <c r="X11" i="10"/>
  <c r="X10" i="10"/>
  <c r="X9" i="10"/>
  <c r="X8" i="10"/>
  <c r="X7" i="10"/>
  <c r="X6" i="10"/>
  <c r="W4" i="10"/>
  <c r="U4" i="10"/>
  <c r="R4" i="10"/>
  <c r="N4" i="10"/>
  <c r="I4" i="10"/>
  <c r="C4" i="10"/>
  <c r="AA6" i="10" l="1"/>
  <c r="AA12" i="10"/>
  <c r="AB6" i="10"/>
  <c r="AC7" i="10"/>
  <c r="AE7" i="10" s="1"/>
  <c r="AF7" i="10" s="1"/>
  <c r="AB7" i="10"/>
  <c r="AC13" i="10"/>
  <c r="AD13" i="10"/>
  <c r="AD6" i="10"/>
  <c r="AD9" i="10"/>
  <c r="AB8" i="10"/>
  <c r="AD8" i="10"/>
  <c r="AD11" i="10"/>
  <c r="AC10" i="10"/>
  <c r="AA10" i="10"/>
  <c r="AC8" i="10"/>
  <c r="AA5" i="10"/>
  <c r="AD7" i="10"/>
  <c r="AA11" i="10"/>
  <c r="AD5" i="10"/>
  <c r="Z4" i="10"/>
  <c r="Z17" i="10"/>
  <c r="AC9" i="10"/>
  <c r="AB14" i="10"/>
  <c r="AC12" i="10"/>
  <c r="AC11" i="10"/>
  <c r="AB9" i="10"/>
  <c r="AD10" i="10"/>
  <c r="AC14" i="10"/>
  <c r="AB12" i="10"/>
  <c r="AD12" i="10"/>
  <c r="AA15" i="10"/>
  <c r="AB11" i="10"/>
  <c r="AA8" i="10"/>
  <c r="AA9" i="10"/>
  <c r="AB13" i="10"/>
  <c r="AC6" i="10"/>
  <c r="AD16" i="10"/>
  <c r="AC5" i="10"/>
  <c r="AB5" i="10"/>
  <c r="AC16" i="10"/>
  <c r="AB15" i="10"/>
  <c r="AA16" i="10"/>
  <c r="K17" i="10"/>
  <c r="G17" i="10"/>
  <c r="J17" i="10"/>
  <c r="S17" i="10"/>
  <c r="L17" i="10"/>
  <c r="Q17" i="10"/>
  <c r="F17" i="10"/>
  <c r="V17" i="10"/>
  <c r="O17" i="10"/>
  <c r="T17" i="10"/>
  <c r="X4" i="10"/>
  <c r="H17" i="10"/>
  <c r="P17" i="10"/>
  <c r="M17" i="10"/>
  <c r="E17" i="10"/>
  <c r="D17" i="10"/>
  <c r="X17" i="10"/>
  <c r="A4" i="3"/>
  <c r="A5" i="3"/>
  <c r="A6" i="3"/>
  <c r="A8" i="3"/>
  <c r="A9" i="3"/>
  <c r="A10" i="3"/>
  <c r="A11" i="3"/>
  <c r="A12" i="3"/>
  <c r="A13" i="3"/>
  <c r="A7" i="3"/>
  <c r="K5" i="3"/>
  <c r="L5" i="3"/>
  <c r="M5" i="3"/>
  <c r="N5" i="3"/>
  <c r="O5" i="3"/>
  <c r="K6" i="3"/>
  <c r="L6" i="3"/>
  <c r="M6" i="3"/>
  <c r="N6" i="3"/>
  <c r="O6" i="3"/>
  <c r="K7" i="3"/>
  <c r="L7" i="3"/>
  <c r="M7" i="3"/>
  <c r="N7" i="3"/>
  <c r="O7" i="3"/>
  <c r="K8" i="3"/>
  <c r="L8" i="3"/>
  <c r="M8" i="3"/>
  <c r="N8" i="3"/>
  <c r="O8" i="3"/>
  <c r="K9" i="3"/>
  <c r="L9" i="3"/>
  <c r="M9" i="3"/>
  <c r="N9" i="3"/>
  <c r="O9" i="3"/>
  <c r="K10" i="3"/>
  <c r="L10" i="3"/>
  <c r="M10" i="3"/>
  <c r="N10" i="3"/>
  <c r="O10" i="3"/>
  <c r="K11" i="3"/>
  <c r="L11" i="3"/>
  <c r="M11" i="3"/>
  <c r="N11" i="3"/>
  <c r="O11" i="3"/>
  <c r="K12" i="3"/>
  <c r="L12" i="3"/>
  <c r="M12" i="3"/>
  <c r="N12" i="3"/>
  <c r="O12" i="3"/>
  <c r="K13" i="3"/>
  <c r="L13" i="3"/>
  <c r="M13" i="3"/>
  <c r="N13" i="3"/>
  <c r="O13" i="3"/>
  <c r="L4" i="3"/>
  <c r="M4" i="3"/>
  <c r="N4" i="3"/>
  <c r="O4" i="3"/>
  <c r="K4" i="3"/>
  <c r="P4" i="3" s="1"/>
  <c r="P17" i="3" s="1"/>
  <c r="AE14" i="10" l="1"/>
  <c r="AF14" i="10" s="1"/>
  <c r="AE16" i="10"/>
  <c r="AF16" i="10" s="1"/>
  <c r="AE13" i="10"/>
  <c r="AF13" i="10" s="1"/>
  <c r="AE10" i="10"/>
  <c r="AF10" i="10" s="1"/>
  <c r="AE8" i="10"/>
  <c r="AF8" i="10" s="1"/>
  <c r="AE11" i="10"/>
  <c r="AF11" i="10" s="1"/>
  <c r="AE6" i="10"/>
  <c r="AF6" i="10" s="1"/>
  <c r="AE9" i="10"/>
  <c r="AF9" i="10" s="1"/>
  <c r="AA4" i="10"/>
  <c r="AE12" i="10"/>
  <c r="AF12" i="10" s="1"/>
  <c r="AE15" i="10"/>
  <c r="AF15" i="10" s="1"/>
  <c r="AB4" i="10"/>
  <c r="AB17" i="10"/>
  <c r="AA17" i="10"/>
  <c r="AE5" i="10"/>
  <c r="AC17" i="10"/>
  <c r="AC4" i="10"/>
  <c r="AD4" i="10"/>
  <c r="AD17" i="10"/>
  <c r="D8" i="6"/>
  <c r="D12" i="6"/>
  <c r="C8" i="5"/>
  <c r="F10" i="6"/>
  <c r="G10" i="6"/>
  <c r="H10" i="6"/>
  <c r="D10" i="6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I13" i="1"/>
  <c r="I12" i="1"/>
  <c r="I11" i="1"/>
  <c r="I10" i="1"/>
  <c r="I9" i="1"/>
  <c r="I8" i="1"/>
  <c r="I7" i="1"/>
  <c r="I6" i="1"/>
  <c r="J5" i="1"/>
  <c r="K5" i="1"/>
  <c r="L5" i="1"/>
  <c r="M5" i="1"/>
  <c r="I5" i="1"/>
  <c r="J4" i="1"/>
  <c r="K4" i="1"/>
  <c r="L4" i="1"/>
  <c r="M4" i="1"/>
  <c r="I4" i="1"/>
  <c r="E20" i="6"/>
  <c r="F20" i="6"/>
  <c r="G20" i="6"/>
  <c r="H20" i="6"/>
  <c r="D20" i="6"/>
  <c r="E19" i="6"/>
  <c r="F19" i="6"/>
  <c r="G19" i="6"/>
  <c r="H19" i="6"/>
  <c r="D19" i="6"/>
  <c r="I14" i="1" l="1"/>
  <c r="C4" i="5" s="1"/>
  <c r="E8" i="6"/>
  <c r="E12" i="6"/>
  <c r="D8" i="5"/>
  <c r="F8" i="6"/>
  <c r="F12" i="6"/>
  <c r="E8" i="5"/>
  <c r="F8" i="5"/>
  <c r="G8" i="6"/>
  <c r="G12" i="6"/>
  <c r="H12" i="6"/>
  <c r="G8" i="5"/>
  <c r="H8" i="6"/>
  <c r="AF5" i="10"/>
  <c r="AF4" i="10" s="1"/>
  <c r="AF17" i="10" s="1"/>
  <c r="H17" i="6" s="1"/>
  <c r="AE4" i="10"/>
  <c r="AE17" i="10" s="1"/>
  <c r="L14" i="1"/>
  <c r="K14" i="1"/>
  <c r="M14" i="1"/>
  <c r="J14" i="1"/>
  <c r="C17" i="2"/>
  <c r="D12" i="5"/>
  <c r="E12" i="5"/>
  <c r="F12" i="5"/>
  <c r="G12" i="5"/>
  <c r="C12" i="5"/>
  <c r="E4" i="2"/>
  <c r="F4" i="2"/>
  <c r="G4" i="2"/>
  <c r="H4" i="2"/>
  <c r="C4" i="2"/>
  <c r="C21" i="4"/>
  <c r="C17" i="4"/>
  <c r="F21" i="4"/>
  <c r="E10" i="5" s="1"/>
  <c r="F17" i="4"/>
  <c r="E17" i="4"/>
  <c r="H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D6" i="4"/>
  <c r="D7" i="4"/>
  <c r="D8" i="4"/>
  <c r="D9" i="4"/>
  <c r="D10" i="4"/>
  <c r="D11" i="4"/>
  <c r="D12" i="4"/>
  <c r="D13" i="4"/>
  <c r="D14" i="4"/>
  <c r="D15" i="4"/>
  <c r="D16" i="4"/>
  <c r="D5" i="4"/>
  <c r="H7" i="3"/>
  <c r="H8" i="3"/>
  <c r="H9" i="3"/>
  <c r="H10" i="3"/>
  <c r="H11" i="3"/>
  <c r="H12" i="3"/>
  <c r="H13" i="3"/>
  <c r="H21" i="4"/>
  <c r="G10" i="5" s="1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4" i="3"/>
  <c r="C4" i="3"/>
  <c r="H19" i="3" s="1"/>
  <c r="O14" i="3"/>
  <c r="N14" i="3"/>
  <c r="M14" i="3"/>
  <c r="L14" i="3"/>
  <c r="K14" i="3"/>
  <c r="H14" i="1"/>
  <c r="G14" i="1"/>
  <c r="F14" i="1"/>
  <c r="E14" i="1"/>
  <c r="D14" i="1"/>
  <c r="I28" i="2"/>
  <c r="I27" i="2"/>
  <c r="I26" i="2"/>
  <c r="I25" i="2"/>
  <c r="I23" i="2"/>
  <c r="I22" i="2"/>
  <c r="I21" i="2"/>
  <c r="I20" i="2"/>
  <c r="I19" i="2"/>
  <c r="I18" i="2"/>
  <c r="I16" i="2"/>
  <c r="I15" i="2"/>
  <c r="I14" i="2"/>
  <c r="I13" i="2"/>
  <c r="I12" i="2"/>
  <c r="I11" i="2"/>
  <c r="I10" i="2"/>
  <c r="I9" i="2"/>
  <c r="I8" i="2"/>
  <c r="I7" i="2"/>
  <c r="I6" i="2"/>
  <c r="I5" i="2"/>
  <c r="E17" i="2"/>
  <c r="F17" i="2"/>
  <c r="G17" i="2"/>
  <c r="H17" i="2"/>
  <c r="E24" i="2"/>
  <c r="E14" i="6" s="1"/>
  <c r="F24" i="2"/>
  <c r="F14" i="6" s="1"/>
  <c r="G24" i="2"/>
  <c r="G14" i="6" s="1"/>
  <c r="H24" i="2"/>
  <c r="H14" i="6" s="1"/>
  <c r="D24" i="2"/>
  <c r="D14" i="6" s="1"/>
  <c r="D17" i="2"/>
  <c r="D4" i="2"/>
  <c r="D16" i="6" s="1"/>
  <c r="C29" i="2" l="1"/>
  <c r="G4" i="4"/>
  <c r="G7" i="6" s="1"/>
  <c r="E16" i="6"/>
  <c r="H16" i="6"/>
  <c r="G16" i="6"/>
  <c r="F16" i="6"/>
  <c r="I4" i="2"/>
  <c r="D4" i="3"/>
  <c r="D12" i="3"/>
  <c r="D8" i="3"/>
  <c r="I10" i="3"/>
  <c r="J10" i="3" s="1"/>
  <c r="D10" i="3"/>
  <c r="D13" i="3"/>
  <c r="D11" i="3"/>
  <c r="D9" i="3"/>
  <c r="D7" i="3"/>
  <c r="D5" i="3"/>
  <c r="D6" i="3"/>
  <c r="P12" i="3"/>
  <c r="S12" i="3"/>
  <c r="R12" i="3"/>
  <c r="Q12" i="3"/>
  <c r="T12" i="3"/>
  <c r="S8" i="3"/>
  <c r="Q8" i="3"/>
  <c r="T8" i="3"/>
  <c r="P8" i="3"/>
  <c r="R8" i="3"/>
  <c r="P11" i="3"/>
  <c r="R11" i="3"/>
  <c r="Q11" i="3"/>
  <c r="S11" i="3"/>
  <c r="T11" i="3"/>
  <c r="P7" i="3"/>
  <c r="Q7" i="3"/>
  <c r="S7" i="3"/>
  <c r="T7" i="3"/>
  <c r="R7" i="3"/>
  <c r="Q10" i="3"/>
  <c r="R10" i="3"/>
  <c r="T10" i="3"/>
  <c r="S10" i="3"/>
  <c r="P10" i="3"/>
  <c r="Q13" i="3"/>
  <c r="P13" i="3"/>
  <c r="S13" i="3"/>
  <c r="T13" i="3"/>
  <c r="R13" i="3"/>
  <c r="Q9" i="3"/>
  <c r="T9" i="3"/>
  <c r="R9" i="3"/>
  <c r="S9" i="3"/>
  <c r="P9" i="3"/>
  <c r="D4" i="6"/>
  <c r="H4" i="6"/>
  <c r="G4" i="5"/>
  <c r="F4" i="6"/>
  <c r="E4" i="5"/>
  <c r="E4" i="6"/>
  <c r="D4" i="5"/>
  <c r="G4" i="6"/>
  <c r="F4" i="5"/>
  <c r="H6" i="3"/>
  <c r="I6" i="3" s="1"/>
  <c r="J6" i="3" s="1"/>
  <c r="H5" i="3"/>
  <c r="I5" i="3" s="1"/>
  <c r="J5" i="3" s="1"/>
  <c r="F4" i="4"/>
  <c r="F7" i="6" s="1"/>
  <c r="C16" i="6"/>
  <c r="C18" i="6" s="1"/>
  <c r="C21" i="6" s="1"/>
  <c r="I17" i="2"/>
  <c r="I24" i="2"/>
  <c r="I11" i="3"/>
  <c r="J11" i="3" s="1"/>
  <c r="I7" i="3"/>
  <c r="J7" i="3" s="1"/>
  <c r="I12" i="3"/>
  <c r="J12" i="3" s="1"/>
  <c r="I8" i="3"/>
  <c r="J8" i="3" s="1"/>
  <c r="G17" i="4"/>
  <c r="D21" i="4"/>
  <c r="C10" i="5" s="1"/>
  <c r="G21" i="4"/>
  <c r="F10" i="5" s="1"/>
  <c r="H4" i="4"/>
  <c r="E4" i="4"/>
  <c r="D17" i="4"/>
  <c r="D4" i="4"/>
  <c r="I13" i="3"/>
  <c r="J13" i="3" s="1"/>
  <c r="I9" i="3"/>
  <c r="J9" i="3" s="1"/>
  <c r="D29" i="2"/>
  <c r="G29" i="2"/>
  <c r="H29" i="2"/>
  <c r="F29" i="2"/>
  <c r="E29" i="2"/>
  <c r="F7" i="5" l="1"/>
  <c r="I4" i="3"/>
  <c r="J4" i="3" s="1"/>
  <c r="J14" i="3" s="1"/>
  <c r="Q4" i="3"/>
  <c r="D14" i="3"/>
  <c r="I29" i="2"/>
  <c r="C22" i="6"/>
  <c r="T6" i="3"/>
  <c r="S6" i="3"/>
  <c r="R6" i="3"/>
  <c r="Q6" i="3"/>
  <c r="P6" i="3"/>
  <c r="R5" i="3"/>
  <c r="Q5" i="3"/>
  <c r="T5" i="3"/>
  <c r="P5" i="3"/>
  <c r="S5" i="3"/>
  <c r="T4" i="3"/>
  <c r="R4" i="3"/>
  <c r="S4" i="3"/>
  <c r="E7" i="5"/>
  <c r="F24" i="4"/>
  <c r="E7" i="6"/>
  <c r="D7" i="5"/>
  <c r="H24" i="4"/>
  <c r="H7" i="6"/>
  <c r="G7" i="5"/>
  <c r="D7" i="6"/>
  <c r="C7" i="5"/>
  <c r="G24" i="4"/>
  <c r="D24" i="4"/>
  <c r="C4" i="7" l="1"/>
  <c r="R14" i="3"/>
  <c r="E5" i="5" s="1"/>
  <c r="E6" i="5" s="1"/>
  <c r="Q14" i="3"/>
  <c r="D5" i="5" s="1"/>
  <c r="D6" i="5" s="1"/>
  <c r="S14" i="3"/>
  <c r="F5" i="5" s="1"/>
  <c r="F6" i="5" s="1"/>
  <c r="P14" i="3"/>
  <c r="C5" i="5" s="1"/>
  <c r="C6" i="5" s="1"/>
  <c r="C9" i="5" s="1"/>
  <c r="C11" i="5" s="1"/>
  <c r="C13" i="5" s="1"/>
  <c r="T14" i="3"/>
  <c r="G5" i="5" s="1"/>
  <c r="G6" i="5" s="1"/>
  <c r="F5" i="6" l="1"/>
  <c r="F6" i="6" s="1"/>
  <c r="F9" i="6" s="1"/>
  <c r="F11" i="6" s="1"/>
  <c r="F13" i="6" s="1"/>
  <c r="F15" i="6" s="1"/>
  <c r="F18" i="6" s="1"/>
  <c r="F21" i="6" s="1"/>
  <c r="D5" i="6"/>
  <c r="D6" i="6" s="1"/>
  <c r="D9" i="6" s="1"/>
  <c r="D11" i="6" s="1"/>
  <c r="G5" i="6"/>
  <c r="G6" i="6" s="1"/>
  <c r="G9" i="6" s="1"/>
  <c r="G11" i="6" s="1"/>
  <c r="G13" i="6" s="1"/>
  <c r="G15" i="6" s="1"/>
  <c r="E5" i="6"/>
  <c r="E6" i="6" s="1"/>
  <c r="E9" i="6" s="1"/>
  <c r="H5" i="6"/>
  <c r="H6" i="6" s="1"/>
  <c r="H9" i="6" s="1"/>
  <c r="H11" i="6" s="1"/>
  <c r="H13" i="6" s="1"/>
  <c r="H15" i="6" s="1"/>
  <c r="D9" i="5"/>
  <c r="E9" i="5"/>
  <c r="E11" i="5" s="1"/>
  <c r="E13" i="5" s="1"/>
  <c r="D13" i="6" l="1"/>
  <c r="D15" i="6" s="1"/>
  <c r="D18" i="6" s="1"/>
  <c r="D21" i="6" s="1"/>
  <c r="G18" i="6"/>
  <c r="G21" i="6" s="1"/>
  <c r="F9" i="5"/>
  <c r="F11" i="5" s="1"/>
  <c r="F13" i="5" s="1"/>
  <c r="D22" i="6" l="1"/>
  <c r="G9" i="5"/>
  <c r="G11" i="5" s="1"/>
  <c r="G13" i="5" s="1"/>
  <c r="H18" i="6"/>
  <c r="H21" i="6" s="1"/>
  <c r="D24" i="6" s="1"/>
  <c r="E21" i="4"/>
  <c r="D10" i="5" s="1"/>
  <c r="D11" i="5" s="1"/>
  <c r="D13" i="5" s="1"/>
  <c r="E10" i="6"/>
  <c r="E11" i="6" s="1"/>
  <c r="E13" i="6" s="1"/>
  <c r="E15" i="6" s="1"/>
  <c r="E18" i="6" l="1"/>
  <c r="E21" i="6" s="1"/>
  <c r="C6" i="7" s="1"/>
  <c r="E24" i="4"/>
  <c r="C8" i="7" l="1"/>
  <c r="E22" i="6"/>
  <c r="F22" i="6" s="1"/>
  <c r="G22" i="6" s="1"/>
  <c r="H22" i="6" s="1"/>
  <c r="C7" i="7"/>
  <c r="C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SERVIDOR</author>
  </authors>
  <commentList>
    <comment ref="C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APORTE DE CADA MIEMBRO</t>
        </r>
      </text>
    </comment>
  </commentList>
</comments>
</file>

<file path=xl/sharedStrings.xml><?xml version="1.0" encoding="utf-8"?>
<sst xmlns="http://schemas.openxmlformats.org/spreadsheetml/2006/main" count="273" uniqueCount="169">
  <si>
    <t>Producto</t>
  </si>
  <si>
    <t>Unidad de medida</t>
  </si>
  <si>
    <t>Cantidad año 1</t>
  </si>
  <si>
    <t>Cantidad año 2</t>
  </si>
  <si>
    <t>Cantidad año 4</t>
  </si>
  <si>
    <t>Total Ventas</t>
  </si>
  <si>
    <t>Total</t>
  </si>
  <si>
    <t>Vida útil contable (en años) </t>
  </si>
  <si>
    <t>Año 0</t>
  </si>
  <si>
    <t xml:space="preserve"> Año 1</t>
  </si>
  <si>
    <t>Año 2</t>
  </si>
  <si>
    <t>Año 3</t>
  </si>
  <si>
    <t>Año 4</t>
  </si>
  <si>
    <t>Año 5</t>
  </si>
  <si>
    <t>Inversión</t>
  </si>
  <si>
    <t>Activos Tangibles</t>
  </si>
  <si>
    <t>Activos Intangibles</t>
  </si>
  <si>
    <t>Capital de trabajo</t>
  </si>
  <si>
    <t>Total Inversiones</t>
  </si>
  <si>
    <t>N/A</t>
  </si>
  <si>
    <t>…</t>
  </si>
  <si>
    <t>PRESUPUESTO DE INVERSIONES</t>
  </si>
  <si>
    <t>PRESUPUESTO DE VENTAS</t>
  </si>
  <si>
    <t xml:space="preserve"> Año 0</t>
  </si>
  <si>
    <t>Ventas año 1</t>
  </si>
  <si>
    <t>Ventas año 2</t>
  </si>
  <si>
    <t>Ventas año 4</t>
  </si>
  <si>
    <t>Precio por unidad</t>
  </si>
  <si>
    <t>Precio de venta unitario</t>
  </si>
  <si>
    <t>Costo variable unitario</t>
  </si>
  <si>
    <t>Márgen de Contribución Unitario</t>
  </si>
  <si>
    <t>Costo de Producción unitario</t>
  </si>
  <si>
    <t>Costo de Venta unitario</t>
  </si>
  <si>
    <t>Costos Variables año 1</t>
  </si>
  <si>
    <t>Costos Variables año 2</t>
  </si>
  <si>
    <t>Costos Variables año 3</t>
  </si>
  <si>
    <t>Costos Variables año 4</t>
  </si>
  <si>
    <t>Costos Variables año 5</t>
  </si>
  <si>
    <t>Gastos de Administración</t>
  </si>
  <si>
    <t>Gastos de Financiación</t>
  </si>
  <si>
    <t>Impuestos</t>
  </si>
  <si>
    <t>Impuestos de Venta directos</t>
  </si>
  <si>
    <t>Costo mensual</t>
  </si>
  <si>
    <t>Sueldos y Salarios</t>
  </si>
  <si>
    <t>Beneficios del personal</t>
  </si>
  <si>
    <t>Otros impuestos</t>
  </si>
  <si>
    <t>Alquileres</t>
  </si>
  <si>
    <t>Servicios Básicos</t>
  </si>
  <si>
    <t>Servicios profesionales contratados</t>
  </si>
  <si>
    <t>Viajes y transporte</t>
  </si>
  <si>
    <t>Material de oficina</t>
  </si>
  <si>
    <t>Otros materiales</t>
  </si>
  <si>
    <t>Gastos indirectos de comercialización</t>
  </si>
  <si>
    <t>Amortización a capital por préstamos</t>
  </si>
  <si>
    <t>Intereses de préstamos</t>
  </si>
  <si>
    <t>Otros gastos financieros</t>
  </si>
  <si>
    <t>ESTADO DE RESULTADOS SIMPLIFICADO</t>
  </si>
  <si>
    <t>Cuenta</t>
  </si>
  <si>
    <t>Ventas brutas</t>
  </si>
  <si>
    <t>Costos variables</t>
  </si>
  <si>
    <t>Utilidad Bruta / Márgen Bruto</t>
  </si>
  <si>
    <t>Gastos administrativos</t>
  </si>
  <si>
    <t>Utilidad Operativa / Márgen Operativo (EBIT)</t>
  </si>
  <si>
    <t>Impuestos a la renta / utilidad</t>
  </si>
  <si>
    <t>Utilidad Neta después de impuestos (NOPAT)</t>
  </si>
  <si>
    <t>Gastos financieros/intereses</t>
  </si>
  <si>
    <t>Utilidad Neta / Resultado del Ejercicio</t>
  </si>
  <si>
    <t>Año 1</t>
  </si>
  <si>
    <r>
      <t>Cantidad año 3</t>
    </r>
    <r>
      <rPr>
        <sz val="11"/>
        <rFont val="Calibri"/>
        <family val="2"/>
        <scheme val="minor"/>
      </rPr>
      <t> </t>
    </r>
  </si>
  <si>
    <r>
      <t>Cantidad año 5</t>
    </r>
    <r>
      <rPr>
        <sz val="11"/>
        <rFont val="Calibri"/>
        <family val="2"/>
        <scheme val="minor"/>
      </rPr>
      <t> </t>
    </r>
  </si>
  <si>
    <t>Depreciación de Activos Fijos</t>
  </si>
  <si>
    <t>+</t>
  </si>
  <si>
    <t>-</t>
  </si>
  <si>
    <t>=</t>
  </si>
  <si>
    <t>FLUJO DE EFECTIVO SIMPLIFICADO</t>
  </si>
  <si>
    <t>Flujo de Efectivo Bruto \ Cash Flow</t>
  </si>
  <si>
    <t>Flujo de Efectivo Operativo \ Operating Cash Flow</t>
  </si>
  <si>
    <t xml:space="preserve">Valor de Rescate (liquidación)  de Activos Fijos </t>
  </si>
  <si>
    <t>Flujo de Efectivo Neto \ Flujo Efectivo Económico \ Net Cash Flow</t>
  </si>
  <si>
    <t>Costos Financieros \ intereses</t>
  </si>
  <si>
    <t>Pago de préstamos</t>
  </si>
  <si>
    <t>Flujo de Efectivo Libre \ Flujo de Efectivo Financiero \ Free Cash Flow</t>
  </si>
  <si>
    <t>Inversiones en Activo Fijo y Activo Intangible</t>
  </si>
  <si>
    <t>Inversión en Capital Operativo \ Capital de Trabajo</t>
  </si>
  <si>
    <t>Valor</t>
  </si>
  <si>
    <t>Referencia</t>
  </si>
  <si>
    <t>Indicador</t>
  </si>
  <si>
    <t>VAN</t>
  </si>
  <si>
    <t>TIR</t>
  </si>
  <si>
    <t>Valor Actual Neto</t>
  </si>
  <si>
    <t>Tasa Interna de Retorno</t>
  </si>
  <si>
    <t>Tasa de Descuento \ Interés</t>
  </si>
  <si>
    <t>i (desc)</t>
  </si>
  <si>
    <t>TIR &gt; i (desc) = proyecto aceptable</t>
  </si>
  <si>
    <t>B/C</t>
  </si>
  <si>
    <t>VAN &gt; 0.00 = proyecto aceptable</t>
  </si>
  <si>
    <t>B/C &gt; 1.00 = proyecto aceptable</t>
  </si>
  <si>
    <t>TRK</t>
  </si>
  <si>
    <t>Pto. Eq.</t>
  </si>
  <si>
    <t>Punto de Equilibrio</t>
  </si>
  <si>
    <t>Total Costos Fijos</t>
  </si>
  <si>
    <t>PRESUPUESTO DE COSTOS FIJOS</t>
  </si>
  <si>
    <t>PRESUPUESTO DE COSTOS VARIABLES</t>
  </si>
  <si>
    <t>Tasa de interés a la que se descuentan flujos proyectados</t>
  </si>
  <si>
    <t>Índice Beneficio / Costo</t>
  </si>
  <si>
    <t>Tiempo de Recuperación del Capital</t>
  </si>
  <si>
    <t>Flujo Libre acumuplado (para TRK)</t>
  </si>
  <si>
    <t>Año durante el cual se recupera la inversión inicial (Flujo Acumulado &gt; 0)</t>
  </si>
  <si>
    <t>Equipos de computación</t>
  </si>
  <si>
    <t>Muebles de oficina</t>
  </si>
  <si>
    <t>Otros muebles y enseres</t>
  </si>
  <si>
    <t>Licencias y permisos</t>
  </si>
  <si>
    <t>Capital de trabajo inicial</t>
  </si>
  <si>
    <t>Patentes</t>
  </si>
  <si>
    <t>Equipos de telecomunicación</t>
  </si>
  <si>
    <t>Máquinas y repuestos</t>
  </si>
  <si>
    <t>Equipamiento de trabajo</t>
  </si>
  <si>
    <t>Equipamiento de seguridad</t>
  </si>
  <si>
    <t>Refacciones y obras civiles</t>
  </si>
  <si>
    <r>
      <t>Ventas año 3</t>
    </r>
    <r>
      <rPr>
        <sz val="11"/>
        <rFont val="Calibri"/>
        <family val="2"/>
        <scheme val="minor"/>
      </rPr>
      <t> </t>
    </r>
  </si>
  <si>
    <r>
      <t>Ventas año 5</t>
    </r>
    <r>
      <rPr>
        <sz val="11"/>
        <rFont val="Calibri"/>
        <family val="2"/>
        <scheme val="minor"/>
      </rPr>
      <t> </t>
    </r>
  </si>
  <si>
    <t>Vehículos de distribución</t>
  </si>
  <si>
    <t>Volumen de ventas en el que se logran cubrir todos los costos (fijos y variables)</t>
  </si>
  <si>
    <t>Precio Venta ponderado por vol ventas</t>
  </si>
  <si>
    <t>Márgen contribución ponderado por vol ventas</t>
  </si>
  <si>
    <t>Se deben llenar únicamente las casillas verdes.</t>
  </si>
  <si>
    <t>Se recomienda completar las hojas de izquierda a derecha.</t>
  </si>
  <si>
    <t>Las casillas blancas se calculan automáticamente, es recomendable no modificarlas.</t>
  </si>
  <si>
    <t>Las casillas grises pueden modificarse manualmente, pero por lo general no deben contener valores.</t>
  </si>
  <si>
    <t>Esta plantilla es útil para evaluar proyectos de inversión con fines de lucro con un horizonte de planificación de 5 años.</t>
  </si>
  <si>
    <t>Proyectos sin fines de lucro o con un horizonte de planificación diferentes no deben evaluarse con esta plantilla.</t>
  </si>
  <si>
    <t>INSTRUCCIONES</t>
  </si>
  <si>
    <t>Se recomienda no ampliar las tablas pues esto afectará las fórmulas de la plantilla.</t>
  </si>
  <si>
    <t>Si se prevee que alguna tabla no cuenta con el espacio suficiente para listar todos los productos o cuentas se recomienda agrupar elementos similares.</t>
  </si>
  <si>
    <t>Su difusión está restringida a alumnos que cursen algún programa de FUNIBER.</t>
  </si>
  <si>
    <t>Este archivo es porpiedad de la Fundación Universitaria Iberoamericana (FUNIBER) y NO debe emplearse para fines distintos a los estríctamente académicos.</t>
  </si>
  <si>
    <t>Si la moneda en la que se expresan los valores es muy grande se sugiere expresar los valores en miles.</t>
  </si>
  <si>
    <t>USO Y DIFUSIÓN</t>
  </si>
  <si>
    <t>APLICABILIDAD</t>
  </si>
  <si>
    <t>LLENADO DE LA PLANTILLA</t>
  </si>
  <si>
    <t>Total Depreciaciones</t>
  </si>
  <si>
    <t>Depreciación al año 1</t>
  </si>
  <si>
    <t>Depreciación al año 2</t>
  </si>
  <si>
    <t>Depreciación al año 3</t>
  </si>
  <si>
    <t>Depreciación al año 4</t>
  </si>
  <si>
    <t>Depreciación al año 5</t>
  </si>
  <si>
    <t>Activos comprados el Año 0</t>
  </si>
  <si>
    <t>Activos comprados el Año 5</t>
  </si>
  <si>
    <t>Activos comprados el Año 4</t>
  </si>
  <si>
    <t>Activos comprados el Año 3</t>
  </si>
  <si>
    <t>Activos comprados el Año 2</t>
  </si>
  <si>
    <t>Activos comprados el Año 1</t>
  </si>
  <si>
    <t>Depreciación acumulada Total (cierre año 5)</t>
  </si>
  <si>
    <t>Depreciación anual (cierre año 5)</t>
  </si>
  <si>
    <t>Depreciación anual (cierre año 4)</t>
  </si>
  <si>
    <t>Depreciación anual (cierre año 3)</t>
  </si>
  <si>
    <t>Depreciación anual (cierre año 2)</t>
  </si>
  <si>
    <t>Depreciación anual (cierre año 1)</t>
  </si>
  <si>
    <t>Valor de rescate (residual)</t>
  </si>
  <si>
    <t>DEPRECIACIÓN DE INVERSIONES EN ACTIVOS FIJOS</t>
  </si>
  <si>
    <t>Tilapia por kilogramo</t>
  </si>
  <si>
    <t xml:space="preserve">Kilogramo </t>
  </si>
  <si>
    <t>VENTAS</t>
  </si>
  <si>
    <t>CONTADOR</t>
  </si>
  <si>
    <t>GUARDIA 2 PERSONAS</t>
  </si>
  <si>
    <t xml:space="preserve">mano obra </t>
  </si>
  <si>
    <t xml:space="preserve">materia </t>
  </si>
  <si>
    <t xml:space="preserve">conecntrados </t>
  </si>
  <si>
    <t xml:space="preserve">alevinoa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</si>
</sst>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164" fontId="0" fillId="0" borderId="1" xfId="1" applyFont="1" applyBorder="1"/>
    <xf numFmtId="164" fontId="2" fillId="0" borderId="1" xfId="1" applyFont="1" applyBorder="1"/>
    <xf numFmtId="164" fontId="0" fillId="3" borderId="1" xfId="1" applyFont="1" applyFill="1" applyBorder="1"/>
    <xf numFmtId="164" fontId="0" fillId="0" borderId="1" xfId="1" applyFont="1" applyFill="1" applyBorder="1"/>
    <xf numFmtId="0" fontId="2" fillId="0" borderId="0" xfId="0" applyFont="1"/>
    <xf numFmtId="164" fontId="0" fillId="0" borderId="0" xfId="1" applyFont="1"/>
    <xf numFmtId="164" fontId="2" fillId="4" borderId="1" xfId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1" fillId="0" borderId="1" xfId="1" applyFont="1" applyBorder="1"/>
    <xf numFmtId="0" fontId="2" fillId="4" borderId="1" xfId="0" applyFont="1" applyFill="1" applyBorder="1"/>
    <xf numFmtId="164" fontId="2" fillId="4" borderId="1" xfId="1" applyFont="1" applyFill="1" applyBorder="1"/>
    <xf numFmtId="0" fontId="0" fillId="0" borderId="1" xfId="0" applyFill="1" applyBorder="1"/>
    <xf numFmtId="164" fontId="2" fillId="0" borderId="1" xfId="1" applyFont="1" applyFill="1" applyBorder="1"/>
    <xf numFmtId="164" fontId="2" fillId="3" borderId="1" xfId="1" applyFont="1" applyFill="1" applyBorder="1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justify" vertical="center" wrapText="1"/>
    </xf>
    <xf numFmtId="164" fontId="5" fillId="3" borderId="1" xfId="1" applyFont="1" applyFill="1" applyBorder="1" applyAlignment="1">
      <alignment horizontal="justify" vertical="center" wrapText="1"/>
    </xf>
    <xf numFmtId="9" fontId="5" fillId="0" borderId="1" xfId="2" applyNumberFormat="1" applyFont="1" applyFill="1" applyBorder="1" applyAlignment="1">
      <alignment horizontal="right" vertical="center" wrapText="1"/>
    </xf>
    <xf numFmtId="0" fontId="0" fillId="0" borderId="0" xfId="0" quotePrefix="1"/>
    <xf numFmtId="0" fontId="0" fillId="0" borderId="1" xfId="0" applyFont="1" applyBorder="1"/>
    <xf numFmtId="0" fontId="0" fillId="0" borderId="0" xfId="0" quotePrefix="1" applyFill="1" applyBorder="1"/>
    <xf numFmtId="164" fontId="0" fillId="5" borderId="1" xfId="1" applyFont="1" applyFill="1" applyBorder="1"/>
    <xf numFmtId="164" fontId="2" fillId="5" borderId="1" xfId="1" applyFont="1" applyFill="1" applyBorder="1"/>
    <xf numFmtId="0" fontId="4" fillId="2" borderId="1" xfId="0" applyFont="1" applyFill="1" applyBorder="1" applyAlignment="1">
      <alignment vertical="center" wrapText="1"/>
    </xf>
    <xf numFmtId="164" fontId="0" fillId="0" borderId="0" xfId="0" applyNumberFormat="1"/>
    <xf numFmtId="0" fontId="0" fillId="0" borderId="2" xfId="0" applyFill="1" applyBorder="1"/>
    <xf numFmtId="9" fontId="0" fillId="0" borderId="1" xfId="2" applyFont="1" applyBorder="1" applyAlignment="1">
      <alignment horizontal="right"/>
    </xf>
    <xf numFmtId="0" fontId="5" fillId="3" borderId="1" xfId="0" applyFont="1" applyFill="1" applyBorder="1" applyAlignment="1">
      <alignment horizontal="justify" vertical="center" wrapText="1"/>
    </xf>
    <xf numFmtId="9" fontId="0" fillId="3" borderId="1" xfId="2" applyFont="1" applyFill="1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0" fontId="0" fillId="0" borderId="0" xfId="0" applyFont="1"/>
    <xf numFmtId="0" fontId="5" fillId="0" borderId="1" xfId="0" applyFont="1" applyBorder="1" applyAlignment="1">
      <alignment horizontal="justify" vertical="center" wrapText="1"/>
    </xf>
    <xf numFmtId="164" fontId="0" fillId="0" borderId="1" xfId="1" applyFont="1" applyFill="1" applyBorder="1" applyAlignment="1">
      <alignment horizontal="right"/>
    </xf>
    <xf numFmtId="164" fontId="2" fillId="0" borderId="1" xfId="1" applyFont="1" applyBorder="1"/>
    <xf numFmtId="0" fontId="0" fillId="0" borderId="0" xfId="0" applyFont="1"/>
    <xf numFmtId="164" fontId="5" fillId="0" borderId="1" xfId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164" fontId="2" fillId="0" borderId="1" xfId="1" applyFont="1" applyBorder="1"/>
    <xf numFmtId="0" fontId="2" fillId="0" borderId="0" xfId="0" applyFont="1"/>
    <xf numFmtId="164" fontId="5" fillId="0" borderId="1" xfId="1" applyFont="1" applyFill="1" applyBorder="1" applyAlignment="1">
      <alignment horizontal="justify" vertical="center" wrapText="1"/>
    </xf>
    <xf numFmtId="9" fontId="5" fillId="0" borderId="1" xfId="2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2" fillId="0" borderId="1" xfId="1" applyNumberFormat="1" applyFont="1" applyBorder="1"/>
    <xf numFmtId="0" fontId="7" fillId="0" borderId="0" xfId="0" applyFont="1"/>
    <xf numFmtId="0" fontId="0" fillId="0" borderId="0" xfId="0" applyFont="1" applyAlignment="1">
      <alignment wrapText="1"/>
    </xf>
    <xf numFmtId="164" fontId="2" fillId="4" borderId="1" xfId="1" applyFont="1" applyFill="1" applyBorder="1" applyAlignment="1">
      <alignment horizontal="center" wrapText="1"/>
    </xf>
    <xf numFmtId="0" fontId="2" fillId="0" borderId="3" xfId="0" applyFont="1" applyBorder="1"/>
    <xf numFmtId="0" fontId="0" fillId="0" borderId="3" xfId="0" applyFont="1" applyBorder="1"/>
    <xf numFmtId="0" fontId="2" fillId="4" borderId="3" xfId="0" applyFont="1" applyFill="1" applyBorder="1"/>
    <xf numFmtId="164" fontId="2" fillId="4" borderId="7" xfId="1" applyFont="1" applyFill="1" applyBorder="1" applyAlignment="1">
      <alignment wrapText="1"/>
    </xf>
    <xf numFmtId="164" fontId="2" fillId="4" borderId="8" xfId="1" applyFont="1" applyFill="1" applyBorder="1" applyAlignment="1">
      <alignment wrapText="1"/>
    </xf>
    <xf numFmtId="164" fontId="2" fillId="0" borderId="7" xfId="1" applyFont="1" applyBorder="1"/>
    <xf numFmtId="164" fontId="2" fillId="0" borderId="8" xfId="1" applyFont="1" applyFill="1" applyBorder="1"/>
    <xf numFmtId="164" fontId="0" fillId="0" borderId="8" xfId="1" applyFont="1" applyFill="1" applyBorder="1"/>
    <xf numFmtId="164" fontId="2" fillId="4" borderId="9" xfId="1" applyFont="1" applyFill="1" applyBorder="1"/>
    <xf numFmtId="164" fontId="2" fillId="4" borderId="10" xfId="1" applyFont="1" applyFill="1" applyBorder="1"/>
    <xf numFmtId="164" fontId="2" fillId="4" borderId="11" xfId="1" applyFont="1" applyFill="1" applyBorder="1"/>
    <xf numFmtId="164" fontId="2" fillId="4" borderId="12" xfId="1" applyFont="1" applyFill="1" applyBorder="1" applyAlignment="1">
      <alignment horizontal="center" wrapText="1"/>
    </xf>
    <xf numFmtId="164" fontId="2" fillId="4" borderId="13" xfId="1" applyFont="1" applyFill="1" applyBorder="1" applyAlignment="1">
      <alignment wrapText="1"/>
    </xf>
    <xf numFmtId="164" fontId="2" fillId="0" borderId="13" xfId="1" applyFont="1" applyBorder="1"/>
    <xf numFmtId="164" fontId="2" fillId="4" borderId="14" xfId="1" applyFont="1" applyFill="1" applyBorder="1"/>
    <xf numFmtId="164" fontId="0" fillId="0" borderId="0" xfId="1" applyFont="1" applyBorder="1" applyAlignment="1">
      <alignment wrapText="1"/>
    </xf>
    <xf numFmtId="164" fontId="2" fillId="4" borderId="15" xfId="1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164" fontId="0" fillId="0" borderId="7" xfId="1" applyFont="1" applyFill="1" applyBorder="1"/>
    <xf numFmtId="164" fontId="0" fillId="0" borderId="13" xfId="1" applyFont="1" applyFill="1" applyBorder="1"/>
    <xf numFmtId="0" fontId="2" fillId="4" borderId="18" xfId="0" applyFont="1" applyFill="1" applyBorder="1" applyAlignment="1">
      <alignment wrapText="1"/>
    </xf>
    <xf numFmtId="164" fontId="2" fillId="0" borderId="3" xfId="1" applyFont="1" applyBorder="1"/>
    <xf numFmtId="164" fontId="0" fillId="0" borderId="3" xfId="1" applyFont="1" applyFill="1" applyBorder="1"/>
    <xf numFmtId="164" fontId="2" fillId="4" borderId="19" xfId="1" applyFont="1" applyFill="1" applyBorder="1"/>
    <xf numFmtId="165" fontId="0" fillId="0" borderId="0" xfId="0" applyNumberFormat="1" applyFont="1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164" fontId="2" fillId="4" borderId="4" xfId="1" applyFont="1" applyFill="1" applyBorder="1" applyAlignment="1">
      <alignment horizontal="center" wrapText="1"/>
    </xf>
    <xf numFmtId="164" fontId="2" fillId="4" borderId="6" xfId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164" fontId="2" fillId="4" borderId="5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164" fontId="2" fillId="6" borderId="1" xfId="1" applyFont="1" applyFill="1" applyBorder="1"/>
    <xf numFmtId="164" fontId="2" fillId="6" borderId="11" xfId="1" applyFont="1" applyFill="1" applyBorder="1"/>
    <xf numFmtId="0" fontId="5" fillId="6" borderId="1" xfId="0" applyFont="1" applyFill="1" applyBorder="1" applyAlignment="1">
      <alignment horizontal="justify" vertical="center" wrapText="1"/>
    </xf>
    <xf numFmtId="164" fontId="5" fillId="7" borderId="1" xfId="1" applyFont="1" applyFill="1" applyBorder="1" applyAlignment="1">
      <alignment horizontal="justify" vertical="center" wrapText="1"/>
    </xf>
    <xf numFmtId="164" fontId="5" fillId="8" borderId="1" xfId="1" applyFont="1" applyFill="1" applyBorder="1" applyAlignment="1">
      <alignment horizontal="justify" vertical="center" wrapText="1"/>
    </xf>
    <xf numFmtId="164" fontId="5" fillId="9" borderId="1" xfId="1" applyFont="1" applyFill="1" applyBorder="1" applyAlignment="1">
      <alignment horizontal="justify" vertical="center" wrapText="1"/>
    </xf>
    <xf numFmtId="164" fontId="5" fillId="10" borderId="1" xfId="1" applyFont="1" applyFill="1" applyBorder="1" applyAlignment="1">
      <alignment horizontal="justify" vertical="center" wrapText="1"/>
    </xf>
    <xf numFmtId="164" fontId="5" fillId="6" borderId="1" xfId="1" applyFont="1" applyFill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27"/>
  <sheetViews>
    <sheetView showGridLines="0" topLeftCell="A25" workbookViewId="0">
      <selection activeCell="D10" sqref="D10"/>
    </sheetView>
  </sheetViews>
  <sheetFormatPr baseColWidth="10" defaultColWidth="9.140625" defaultRowHeight="15" x14ac:dyDescent="0.25"/>
  <sheetData>
    <row r="1" spans="1:1" s="44" customFormat="1" x14ac:dyDescent="0.25"/>
    <row r="2" spans="1:1" s="44" customFormat="1" x14ac:dyDescent="0.25"/>
    <row r="3" spans="1:1" s="44" customFormat="1" x14ac:dyDescent="0.25"/>
    <row r="4" spans="1:1" s="44" customFormat="1" x14ac:dyDescent="0.25"/>
    <row r="5" spans="1:1" x14ac:dyDescent="0.25">
      <c r="A5" s="46" t="s">
        <v>131</v>
      </c>
    </row>
    <row r="6" spans="1:1" s="44" customFormat="1" x14ac:dyDescent="0.25">
      <c r="A6" s="46"/>
    </row>
    <row r="7" spans="1:1" x14ac:dyDescent="0.25">
      <c r="A7" s="51" t="s">
        <v>137</v>
      </c>
    </row>
    <row r="8" spans="1:1" x14ac:dyDescent="0.25">
      <c r="A8" s="46" t="s">
        <v>135</v>
      </c>
    </row>
    <row r="9" spans="1:1" s="44" customFormat="1" x14ac:dyDescent="0.25">
      <c r="A9" s="46" t="s">
        <v>134</v>
      </c>
    </row>
    <row r="11" spans="1:1" s="44" customFormat="1" x14ac:dyDescent="0.25">
      <c r="A11" s="51" t="s">
        <v>138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s="44" customFormat="1" x14ac:dyDescent="0.25"/>
    <row r="15" spans="1:1" s="44" customFormat="1" x14ac:dyDescent="0.25">
      <c r="A15" s="51" t="s">
        <v>139</v>
      </c>
    </row>
    <row r="16" spans="1:1" x14ac:dyDescent="0.25">
      <c r="A16" t="s">
        <v>125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126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136</v>
      </c>
    </row>
    <row r="27" spans="1:1" ht="14.2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showGridLines="0" zoomScale="90" zoomScaleNormal="90" workbookViewId="0">
      <selection activeCell="L29" sqref="L29"/>
    </sheetView>
  </sheetViews>
  <sheetFormatPr baseColWidth="10" defaultColWidth="9.140625" defaultRowHeight="15" x14ac:dyDescent="0.25"/>
  <cols>
    <col min="1" max="1" width="3.28515625" style="41" customWidth="1"/>
    <col min="2" max="2" width="28.28515625" style="41" customWidth="1"/>
    <col min="3" max="3" width="13.7109375" style="41" customWidth="1"/>
    <col min="4" max="9" width="13.7109375" style="9" customWidth="1"/>
    <col min="10" max="10" width="10.7109375" style="41" customWidth="1"/>
    <col min="11" max="11" width="9.140625" style="41"/>
    <col min="12" max="12" width="12" style="41" bestFit="1" customWidth="1"/>
    <col min="13" max="16384" width="9.140625" style="41"/>
  </cols>
  <sheetData>
    <row r="1" spans="1:10" x14ac:dyDescent="0.25">
      <c r="A1" s="46" t="s">
        <v>21</v>
      </c>
    </row>
    <row r="3" spans="1:10" s="52" customFormat="1" ht="54" customHeight="1" x14ac:dyDescent="0.25">
      <c r="A3" s="83" t="s">
        <v>14</v>
      </c>
      <c r="B3" s="83"/>
      <c r="C3" s="10" t="s">
        <v>23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6</v>
      </c>
      <c r="J3" s="11" t="s">
        <v>7</v>
      </c>
    </row>
    <row r="4" spans="1:10" x14ac:dyDescent="0.25">
      <c r="A4" s="3" t="s">
        <v>15</v>
      </c>
      <c r="B4" s="3"/>
      <c r="C4" s="45">
        <f>SUM(C5:C16)</f>
        <v>24000</v>
      </c>
      <c r="D4" s="45">
        <f>SUM(D5:D16)</f>
        <v>0</v>
      </c>
      <c r="E4" s="45">
        <f t="shared" ref="E4:H4" si="0">SUM(E5:E16)</f>
        <v>800</v>
      </c>
      <c r="F4" s="45">
        <f t="shared" si="0"/>
        <v>0</v>
      </c>
      <c r="G4" s="45">
        <f t="shared" si="0"/>
        <v>800</v>
      </c>
      <c r="H4" s="45">
        <f t="shared" si="0"/>
        <v>0</v>
      </c>
      <c r="I4" s="45">
        <f t="shared" ref="I4:I29" si="1">C4+D4+E4+F4+G4+H4</f>
        <v>25600</v>
      </c>
      <c r="J4" s="45" t="s">
        <v>19</v>
      </c>
    </row>
    <row r="5" spans="1:10" x14ac:dyDescent="0.25">
      <c r="A5" s="24"/>
      <c r="B5" s="24" t="s">
        <v>121</v>
      </c>
      <c r="C5" s="6">
        <v>7500</v>
      </c>
      <c r="D5" s="6"/>
      <c r="E5" s="6"/>
      <c r="F5" s="6"/>
      <c r="G5" s="6"/>
      <c r="H5" s="6"/>
      <c r="I5" s="4">
        <f t="shared" si="1"/>
        <v>7500</v>
      </c>
      <c r="J5" s="6">
        <v>5</v>
      </c>
    </row>
    <row r="6" spans="1:10" x14ac:dyDescent="0.25">
      <c r="A6" s="24"/>
      <c r="B6" s="24" t="s">
        <v>115</v>
      </c>
      <c r="C6" s="6">
        <v>8500</v>
      </c>
      <c r="D6" s="6"/>
      <c r="E6" s="6">
        <v>600</v>
      </c>
      <c r="F6" s="6"/>
      <c r="G6" s="6">
        <v>600</v>
      </c>
      <c r="H6" s="6"/>
      <c r="I6" s="4">
        <f t="shared" si="1"/>
        <v>9700</v>
      </c>
      <c r="J6" s="6">
        <v>10</v>
      </c>
    </row>
    <row r="7" spans="1:10" x14ac:dyDescent="0.25">
      <c r="A7" s="24"/>
      <c r="B7" s="24" t="s">
        <v>116</v>
      </c>
      <c r="C7" s="6">
        <v>1000</v>
      </c>
      <c r="D7" s="6"/>
      <c r="E7" s="6"/>
      <c r="F7" s="6"/>
      <c r="G7" s="6"/>
      <c r="H7" s="6"/>
      <c r="I7" s="4">
        <f t="shared" si="1"/>
        <v>1000</v>
      </c>
      <c r="J7" s="6">
        <v>3</v>
      </c>
    </row>
    <row r="8" spans="1:10" x14ac:dyDescent="0.25">
      <c r="A8" s="24"/>
      <c r="B8" s="24" t="s">
        <v>108</v>
      </c>
      <c r="C8" s="6">
        <v>1200</v>
      </c>
      <c r="D8" s="6"/>
      <c r="E8" s="6">
        <v>200</v>
      </c>
      <c r="F8" s="6"/>
      <c r="G8" s="6">
        <v>200</v>
      </c>
      <c r="H8" s="6"/>
      <c r="I8" s="4">
        <f t="shared" si="1"/>
        <v>1600</v>
      </c>
      <c r="J8" s="6">
        <v>3</v>
      </c>
    </row>
    <row r="9" spans="1:10" x14ac:dyDescent="0.25">
      <c r="A9" s="24"/>
      <c r="B9" s="24" t="s">
        <v>114</v>
      </c>
      <c r="C9" s="6">
        <v>800</v>
      </c>
      <c r="D9" s="6"/>
      <c r="E9" s="6"/>
      <c r="F9" s="6"/>
      <c r="G9" s="6"/>
      <c r="H9" s="6"/>
      <c r="I9" s="4">
        <f t="shared" si="1"/>
        <v>800</v>
      </c>
      <c r="J9" s="6">
        <v>3</v>
      </c>
    </row>
    <row r="10" spans="1:10" x14ac:dyDescent="0.25">
      <c r="A10" s="24"/>
      <c r="B10" s="24" t="s">
        <v>109</v>
      </c>
      <c r="C10" s="6">
        <v>1500</v>
      </c>
      <c r="D10" s="6"/>
      <c r="E10" s="6"/>
      <c r="F10" s="6"/>
      <c r="G10" s="6"/>
      <c r="H10" s="6"/>
      <c r="I10" s="4">
        <f t="shared" si="1"/>
        <v>1500</v>
      </c>
      <c r="J10" s="6">
        <v>10</v>
      </c>
    </row>
    <row r="11" spans="1:10" x14ac:dyDescent="0.25">
      <c r="A11" s="24"/>
      <c r="B11" s="24" t="s">
        <v>110</v>
      </c>
      <c r="C11" s="6">
        <v>0</v>
      </c>
      <c r="D11" s="6"/>
      <c r="E11" s="6"/>
      <c r="F11" s="6"/>
      <c r="G11" s="6"/>
      <c r="H11" s="6"/>
      <c r="I11" s="4">
        <f t="shared" si="1"/>
        <v>0</v>
      </c>
      <c r="J11" s="6"/>
    </row>
    <row r="12" spans="1:10" x14ac:dyDescent="0.25">
      <c r="A12" s="24"/>
      <c r="B12" s="24" t="s">
        <v>117</v>
      </c>
      <c r="C12" s="6">
        <v>1000</v>
      </c>
      <c r="D12" s="6"/>
      <c r="E12" s="6"/>
      <c r="F12" s="6"/>
      <c r="G12" s="6"/>
      <c r="H12" s="6"/>
      <c r="I12" s="4">
        <f t="shared" si="1"/>
        <v>1000</v>
      </c>
      <c r="J12" s="6">
        <v>3</v>
      </c>
    </row>
    <row r="13" spans="1:10" x14ac:dyDescent="0.25">
      <c r="A13" s="24"/>
      <c r="B13" s="24" t="s">
        <v>118</v>
      </c>
      <c r="C13" s="6">
        <v>2500</v>
      </c>
      <c r="D13" s="6"/>
      <c r="E13" s="6"/>
      <c r="F13" s="6"/>
      <c r="G13" s="6"/>
      <c r="H13" s="6"/>
      <c r="I13" s="4">
        <f t="shared" si="1"/>
        <v>2500</v>
      </c>
      <c r="J13" s="6">
        <v>5</v>
      </c>
    </row>
    <row r="14" spans="1:10" x14ac:dyDescent="0.25">
      <c r="A14" s="24"/>
      <c r="B14" s="24"/>
      <c r="C14" s="6"/>
      <c r="D14" s="6"/>
      <c r="E14" s="6"/>
      <c r="F14" s="6"/>
      <c r="G14" s="6"/>
      <c r="H14" s="6"/>
      <c r="I14" s="4">
        <f t="shared" si="1"/>
        <v>0</v>
      </c>
      <c r="J14" s="6"/>
    </row>
    <row r="15" spans="1:10" x14ac:dyDescent="0.25">
      <c r="A15" s="24"/>
      <c r="B15" s="24"/>
      <c r="C15" s="6"/>
      <c r="D15" s="6"/>
      <c r="E15" s="6"/>
      <c r="F15" s="6"/>
      <c r="G15" s="6"/>
      <c r="H15" s="6"/>
      <c r="I15" s="4">
        <f t="shared" si="1"/>
        <v>0</v>
      </c>
      <c r="J15" s="6"/>
    </row>
    <row r="16" spans="1:10" x14ac:dyDescent="0.25">
      <c r="A16" s="24"/>
      <c r="B16" s="24"/>
      <c r="C16" s="6"/>
      <c r="D16" s="6"/>
      <c r="E16" s="6"/>
      <c r="F16" s="6"/>
      <c r="G16" s="6"/>
      <c r="H16" s="6"/>
      <c r="I16" s="4">
        <f t="shared" si="1"/>
        <v>0</v>
      </c>
      <c r="J16" s="6"/>
    </row>
    <row r="17" spans="1:12" x14ac:dyDescent="0.25">
      <c r="A17" s="3" t="s">
        <v>16</v>
      </c>
      <c r="B17" s="3"/>
      <c r="C17" s="45">
        <f>SUM(C18:C23)</f>
        <v>750</v>
      </c>
      <c r="D17" s="45">
        <f>SUM(D18:D23)</f>
        <v>0</v>
      </c>
      <c r="E17" s="45">
        <f t="shared" ref="E17:H17" si="2">SUM(E18:E23)</f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  <c r="I17" s="45">
        <f t="shared" si="1"/>
        <v>750</v>
      </c>
      <c r="J17" s="45" t="s">
        <v>19</v>
      </c>
      <c r="L17" s="79"/>
    </row>
    <row r="18" spans="1:12" x14ac:dyDescent="0.25">
      <c r="A18" s="24"/>
      <c r="B18" s="24" t="s">
        <v>111</v>
      </c>
      <c r="C18" s="6">
        <v>500</v>
      </c>
      <c r="D18" s="6"/>
      <c r="E18" s="6"/>
      <c r="F18" s="6"/>
      <c r="G18" s="6"/>
      <c r="H18" s="6"/>
      <c r="I18" s="4">
        <f t="shared" si="1"/>
        <v>500</v>
      </c>
      <c r="J18" s="7"/>
    </row>
    <row r="19" spans="1:12" x14ac:dyDescent="0.25">
      <c r="A19" s="24"/>
      <c r="B19" s="24" t="s">
        <v>113</v>
      </c>
      <c r="C19" s="6">
        <v>250</v>
      </c>
      <c r="D19" s="6"/>
      <c r="E19" s="6"/>
      <c r="F19" s="6"/>
      <c r="G19" s="6"/>
      <c r="H19" s="6"/>
      <c r="I19" s="4">
        <f t="shared" si="1"/>
        <v>250</v>
      </c>
      <c r="J19" s="7"/>
    </row>
    <row r="20" spans="1:12" x14ac:dyDescent="0.25">
      <c r="A20" s="24"/>
      <c r="B20" s="24"/>
      <c r="C20" s="6"/>
      <c r="D20" s="6"/>
      <c r="E20" s="6"/>
      <c r="F20" s="6"/>
      <c r="G20" s="6"/>
      <c r="H20" s="6"/>
      <c r="I20" s="4">
        <f t="shared" si="1"/>
        <v>0</v>
      </c>
      <c r="J20" s="7"/>
    </row>
    <row r="21" spans="1:12" x14ac:dyDescent="0.25">
      <c r="A21" s="24"/>
      <c r="B21" s="24"/>
      <c r="C21" s="6"/>
      <c r="D21" s="6"/>
      <c r="E21" s="6"/>
      <c r="F21" s="6"/>
      <c r="G21" s="6"/>
      <c r="H21" s="6"/>
      <c r="I21" s="4">
        <f t="shared" si="1"/>
        <v>0</v>
      </c>
      <c r="J21" s="7"/>
    </row>
    <row r="22" spans="1:12" x14ac:dyDescent="0.25">
      <c r="A22" s="24"/>
      <c r="B22" s="24"/>
      <c r="C22" s="6"/>
      <c r="D22" s="6"/>
      <c r="E22" s="6"/>
      <c r="F22" s="6"/>
      <c r="G22" s="6"/>
      <c r="H22" s="6"/>
      <c r="I22" s="4">
        <f t="shared" si="1"/>
        <v>0</v>
      </c>
      <c r="J22" s="7"/>
    </row>
    <row r="23" spans="1:12" x14ac:dyDescent="0.25">
      <c r="A23" s="24"/>
      <c r="B23" s="24"/>
      <c r="C23" s="6"/>
      <c r="D23" s="6"/>
      <c r="E23" s="6"/>
      <c r="F23" s="6"/>
      <c r="G23" s="6"/>
      <c r="H23" s="6"/>
      <c r="I23" s="4">
        <f t="shared" si="1"/>
        <v>0</v>
      </c>
      <c r="J23" s="7"/>
    </row>
    <row r="24" spans="1:12" x14ac:dyDescent="0.25">
      <c r="A24" s="3" t="s">
        <v>17</v>
      </c>
      <c r="B24" s="24"/>
      <c r="C24" s="45">
        <f>+C25</f>
        <v>17500</v>
      </c>
      <c r="D24" s="45">
        <f>SUM(D25:D28)</f>
        <v>0</v>
      </c>
      <c r="E24" s="45">
        <f t="shared" ref="E24:H24" si="3">SUM(E25:E28)</f>
        <v>0</v>
      </c>
      <c r="F24" s="45">
        <f t="shared" si="3"/>
        <v>0</v>
      </c>
      <c r="G24" s="45">
        <f t="shared" si="3"/>
        <v>0</v>
      </c>
      <c r="H24" s="45">
        <f t="shared" si="3"/>
        <v>0</v>
      </c>
      <c r="I24" s="45">
        <f t="shared" si="1"/>
        <v>17500</v>
      </c>
      <c r="J24" s="45" t="s">
        <v>19</v>
      </c>
    </row>
    <row r="25" spans="1:12" x14ac:dyDescent="0.25">
      <c r="A25" s="24"/>
      <c r="B25" s="24" t="s">
        <v>112</v>
      </c>
      <c r="C25" s="6">
        <v>17500</v>
      </c>
      <c r="D25" s="6"/>
      <c r="E25" s="6"/>
      <c r="F25" s="6"/>
      <c r="G25" s="6"/>
      <c r="H25" s="6"/>
      <c r="I25" s="4">
        <f t="shared" si="1"/>
        <v>17500</v>
      </c>
      <c r="J25" s="7"/>
    </row>
    <row r="26" spans="1:12" x14ac:dyDescent="0.25">
      <c r="A26" s="24"/>
      <c r="B26" s="24"/>
      <c r="C26" s="6"/>
      <c r="D26" s="6"/>
      <c r="E26" s="6"/>
      <c r="F26" s="6"/>
      <c r="G26" s="6"/>
      <c r="H26" s="6"/>
      <c r="I26" s="4">
        <f t="shared" si="1"/>
        <v>0</v>
      </c>
      <c r="J26" s="7"/>
    </row>
    <row r="27" spans="1:12" x14ac:dyDescent="0.25">
      <c r="A27" s="24"/>
      <c r="B27" s="24"/>
      <c r="C27" s="6"/>
      <c r="D27" s="6"/>
      <c r="E27" s="6"/>
      <c r="F27" s="6"/>
      <c r="G27" s="6"/>
      <c r="H27" s="6"/>
      <c r="I27" s="4">
        <f t="shared" si="1"/>
        <v>0</v>
      </c>
      <c r="J27" s="7"/>
    </row>
    <row r="28" spans="1:12" x14ac:dyDescent="0.25">
      <c r="A28" s="24"/>
      <c r="B28" s="24"/>
      <c r="C28" s="6"/>
      <c r="D28" s="17"/>
      <c r="E28" s="17"/>
      <c r="F28" s="17"/>
      <c r="G28" s="17"/>
      <c r="H28" s="17"/>
      <c r="I28" s="45">
        <f t="shared" si="1"/>
        <v>0</v>
      </c>
      <c r="J28" s="16"/>
    </row>
    <row r="29" spans="1:12" x14ac:dyDescent="0.25">
      <c r="A29" s="13" t="s">
        <v>18</v>
      </c>
      <c r="B29" s="13"/>
      <c r="C29" s="14">
        <f>C4+C17+C24</f>
        <v>42250</v>
      </c>
      <c r="D29" s="14">
        <f>D4+D17+D24</f>
        <v>0</v>
      </c>
      <c r="E29" s="14">
        <f t="shared" ref="E29:H29" si="4">E4+E17+E24</f>
        <v>800</v>
      </c>
      <c r="F29" s="14">
        <f t="shared" si="4"/>
        <v>0</v>
      </c>
      <c r="G29" s="14">
        <f t="shared" si="4"/>
        <v>800</v>
      </c>
      <c r="H29" s="14">
        <f t="shared" si="4"/>
        <v>0</v>
      </c>
      <c r="I29" s="92">
        <f t="shared" si="1"/>
        <v>43850</v>
      </c>
      <c r="J29" s="14" t="s">
        <v>19</v>
      </c>
    </row>
  </sheetData>
  <mergeCells count="1">
    <mergeCell ref="A3:B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7"/>
  <sheetViews>
    <sheetView showGridLines="0" topLeftCell="U1" workbookViewId="0">
      <selection activeCell="AF17" sqref="AF17"/>
    </sheetView>
  </sheetViews>
  <sheetFormatPr baseColWidth="10" defaultColWidth="9.140625" defaultRowHeight="15" x14ac:dyDescent="0.25"/>
  <cols>
    <col min="1" max="1" width="3.28515625" style="41" customWidth="1"/>
    <col min="2" max="2" width="28.28515625" style="41" customWidth="1"/>
    <col min="3" max="8" width="13.7109375" style="41" customWidth="1"/>
    <col min="9" max="21" width="13.7109375" style="9" customWidth="1"/>
    <col min="22" max="22" width="13.140625" style="9" customWidth="1"/>
    <col min="23" max="24" width="13.7109375" style="9" customWidth="1"/>
    <col min="25" max="25" width="10.7109375" style="41" customWidth="1"/>
    <col min="26" max="30" width="12.28515625" style="41" customWidth="1"/>
    <col min="31" max="31" width="13" style="41" customWidth="1"/>
    <col min="32" max="32" width="15.140625" style="41" customWidth="1"/>
    <col min="33" max="16384" width="9.140625" style="41"/>
  </cols>
  <sheetData>
    <row r="1" spans="1:32" ht="15.75" thickBot="1" x14ac:dyDescent="0.3">
      <c r="A1" s="46" t="s">
        <v>159</v>
      </c>
    </row>
    <row r="2" spans="1:32" s="52" customFormat="1" ht="45.75" thickBot="1" x14ac:dyDescent="0.3">
      <c r="C2" s="87" t="s">
        <v>146</v>
      </c>
      <c r="D2" s="88"/>
      <c r="E2" s="88"/>
      <c r="F2" s="88"/>
      <c r="G2" s="88"/>
      <c r="H2" s="89"/>
      <c r="I2" s="84" t="s">
        <v>151</v>
      </c>
      <c r="J2" s="90"/>
      <c r="K2" s="90"/>
      <c r="L2" s="90"/>
      <c r="M2" s="85"/>
      <c r="N2" s="84" t="s">
        <v>150</v>
      </c>
      <c r="O2" s="90"/>
      <c r="P2" s="90"/>
      <c r="Q2" s="85"/>
      <c r="R2" s="84" t="s">
        <v>149</v>
      </c>
      <c r="S2" s="90"/>
      <c r="T2" s="85"/>
      <c r="U2" s="84" t="s">
        <v>148</v>
      </c>
      <c r="V2" s="85"/>
      <c r="W2" s="65" t="s">
        <v>147</v>
      </c>
      <c r="X2" s="69"/>
    </row>
    <row r="3" spans="1:32" s="52" customFormat="1" ht="61.5" customHeight="1" x14ac:dyDescent="0.25">
      <c r="A3" s="83" t="s">
        <v>14</v>
      </c>
      <c r="B3" s="86"/>
      <c r="C3" s="57" t="s">
        <v>23</v>
      </c>
      <c r="D3" s="53" t="s">
        <v>141</v>
      </c>
      <c r="E3" s="10" t="s">
        <v>142</v>
      </c>
      <c r="F3" s="10" t="s">
        <v>143</v>
      </c>
      <c r="G3" s="10" t="s">
        <v>144</v>
      </c>
      <c r="H3" s="58" t="s">
        <v>145</v>
      </c>
      <c r="I3" s="57" t="s">
        <v>9</v>
      </c>
      <c r="J3" s="10" t="s">
        <v>142</v>
      </c>
      <c r="K3" s="10" t="s">
        <v>143</v>
      </c>
      <c r="L3" s="10" t="s">
        <v>144</v>
      </c>
      <c r="M3" s="58" t="s">
        <v>145</v>
      </c>
      <c r="N3" s="57" t="s">
        <v>10</v>
      </c>
      <c r="O3" s="10" t="s">
        <v>143</v>
      </c>
      <c r="P3" s="10" t="s">
        <v>144</v>
      </c>
      <c r="Q3" s="58" t="s">
        <v>145</v>
      </c>
      <c r="R3" s="57" t="s">
        <v>11</v>
      </c>
      <c r="S3" s="10" t="s">
        <v>144</v>
      </c>
      <c r="T3" s="58" t="s">
        <v>145</v>
      </c>
      <c r="U3" s="57" t="s">
        <v>12</v>
      </c>
      <c r="V3" s="58" t="s">
        <v>145</v>
      </c>
      <c r="W3" s="66" t="s">
        <v>13</v>
      </c>
      <c r="X3" s="70" t="s">
        <v>6</v>
      </c>
      <c r="Y3" s="71" t="s">
        <v>7</v>
      </c>
      <c r="Z3" s="75" t="s">
        <v>157</v>
      </c>
      <c r="AA3" s="75" t="s">
        <v>156</v>
      </c>
      <c r="AB3" s="75" t="s">
        <v>155</v>
      </c>
      <c r="AC3" s="75" t="s">
        <v>154</v>
      </c>
      <c r="AD3" s="75" t="s">
        <v>153</v>
      </c>
      <c r="AE3" s="72" t="s">
        <v>152</v>
      </c>
      <c r="AF3" s="72" t="s">
        <v>158</v>
      </c>
    </row>
    <row r="4" spans="1:32" x14ac:dyDescent="0.25">
      <c r="A4" s="3" t="s">
        <v>15</v>
      </c>
      <c r="B4" s="54"/>
      <c r="C4" s="59">
        <f>SUM(C5:C16)</f>
        <v>24000</v>
      </c>
      <c r="D4" s="16"/>
      <c r="E4" s="16"/>
      <c r="F4" s="16"/>
      <c r="G4" s="16"/>
      <c r="H4" s="60"/>
      <c r="I4" s="59">
        <f>SUM(I5:I16)</f>
        <v>0</v>
      </c>
      <c r="J4" s="16"/>
      <c r="K4" s="16"/>
      <c r="L4" s="16"/>
      <c r="M4" s="60"/>
      <c r="N4" s="59">
        <f t="shared" ref="N4:W4" si="0">SUM(N5:N16)</f>
        <v>800</v>
      </c>
      <c r="O4" s="16"/>
      <c r="P4" s="16"/>
      <c r="Q4" s="60"/>
      <c r="R4" s="59">
        <f t="shared" si="0"/>
        <v>0</v>
      </c>
      <c r="S4" s="16"/>
      <c r="T4" s="60"/>
      <c r="U4" s="59">
        <f t="shared" si="0"/>
        <v>800</v>
      </c>
      <c r="V4" s="60"/>
      <c r="W4" s="67">
        <f t="shared" si="0"/>
        <v>0</v>
      </c>
      <c r="X4" s="59">
        <f t="shared" ref="X4:X16" si="1">C4+I4+N4+R4+U4+W4</f>
        <v>25600</v>
      </c>
      <c r="Y4" s="45" t="s">
        <v>19</v>
      </c>
      <c r="Z4" s="76">
        <f t="shared" ref="Z4:AE4" si="2">SUM(Z5:Z16)</f>
        <v>4333.3333333333339</v>
      </c>
      <c r="AA4" s="76">
        <f t="shared" si="2"/>
        <v>4333.3333333333339</v>
      </c>
      <c r="AB4" s="76">
        <f t="shared" si="2"/>
        <v>4460</v>
      </c>
      <c r="AC4" s="76">
        <f t="shared" si="2"/>
        <v>3126.6666666666665</v>
      </c>
      <c r="AD4" s="76">
        <f t="shared" si="2"/>
        <v>3253.3333333333335</v>
      </c>
      <c r="AE4" s="60">
        <f t="shared" si="2"/>
        <v>19506.666666666664</v>
      </c>
      <c r="AF4" s="60">
        <f t="shared" ref="AF4" si="3">SUM(AF5:AF16)</f>
        <v>6093.333333333333</v>
      </c>
    </row>
    <row r="5" spans="1:32" x14ac:dyDescent="0.25">
      <c r="A5" s="24"/>
      <c r="B5" s="55" t="s">
        <v>121</v>
      </c>
      <c r="C5" s="73">
        <f>Presupuesto_Inversiones!C5</f>
        <v>7500</v>
      </c>
      <c r="D5" s="7">
        <f>IFERROR($C5/$Y5,0)</f>
        <v>1500</v>
      </c>
      <c r="E5" s="7">
        <f>IF($Y5&gt;1,$C5/$Y5,0)</f>
        <v>1500</v>
      </c>
      <c r="F5" s="7">
        <f>IF($Y5&gt;2,$C5/$Y5,0)</f>
        <v>1500</v>
      </c>
      <c r="G5" s="7">
        <f>IF($Y5&gt;3,$C5/$Y5,0)</f>
        <v>1500</v>
      </c>
      <c r="H5" s="7">
        <f>IF($Y5&gt;4,$C5/$Y5,0)</f>
        <v>1500</v>
      </c>
      <c r="I5" s="73">
        <f>Presupuesto_Inversiones!D5</f>
        <v>0</v>
      </c>
      <c r="J5" s="7">
        <f>IFERROR($I5/$Y5,0)</f>
        <v>0</v>
      </c>
      <c r="K5" s="7">
        <f>IF($Y5&gt;1,$I5/$Y5,0)</f>
        <v>0</v>
      </c>
      <c r="L5" s="7">
        <f>IF($Y5&gt;2,$I5/$Y5,0)</f>
        <v>0</v>
      </c>
      <c r="M5" s="7">
        <f>IF($Y5&gt;3,$I5/$Y5,0)</f>
        <v>0</v>
      </c>
      <c r="N5" s="73">
        <f>Presupuesto_Inversiones!E5</f>
        <v>0</v>
      </c>
      <c r="O5" s="7">
        <f>IFERROR($N5/$Y5,0)</f>
        <v>0</v>
      </c>
      <c r="P5" s="7">
        <f>IF($Y5&gt;1,$N5/$Y5,0)</f>
        <v>0</v>
      </c>
      <c r="Q5" s="7">
        <f>IF($Y5&gt;2,$N5/$Y5,0)</f>
        <v>0</v>
      </c>
      <c r="R5" s="73">
        <f>Presupuesto_Inversiones!F5</f>
        <v>0</v>
      </c>
      <c r="S5" s="7">
        <f>IFERROR($R5/$Y5,0)</f>
        <v>0</v>
      </c>
      <c r="T5" s="7">
        <f>IF($Y5&gt;1,$R5/$Y5,0)</f>
        <v>0</v>
      </c>
      <c r="U5" s="73">
        <f>Presupuesto_Inversiones!G5</f>
        <v>0</v>
      </c>
      <c r="V5" s="7">
        <f>IFERROR($U5/$Y5,0)</f>
        <v>0</v>
      </c>
      <c r="W5" s="74">
        <f>Presupuesto_Inversiones!H5</f>
        <v>0</v>
      </c>
      <c r="X5" s="73">
        <f t="shared" si="1"/>
        <v>7500</v>
      </c>
      <c r="Y5" s="7">
        <f>Presupuesto_Inversiones!J5</f>
        <v>5</v>
      </c>
      <c r="Z5" s="77">
        <f>D5</f>
        <v>1500</v>
      </c>
      <c r="AA5" s="77">
        <f>E5+J5</f>
        <v>1500</v>
      </c>
      <c r="AB5" s="77">
        <f>F5+K5+O5</f>
        <v>1500</v>
      </c>
      <c r="AC5" s="77">
        <f>+G5+L5+P5+S5</f>
        <v>1500</v>
      </c>
      <c r="AD5" s="77">
        <f>+H5+M5+Q5+T5+V5</f>
        <v>1500</v>
      </c>
      <c r="AE5" s="61">
        <f>SUM(Z5:AD5)</f>
        <v>7500</v>
      </c>
      <c r="AF5" s="61">
        <f>X5-AE5</f>
        <v>0</v>
      </c>
    </row>
    <row r="6" spans="1:32" x14ac:dyDescent="0.25">
      <c r="A6" s="24"/>
      <c r="B6" s="55" t="s">
        <v>115</v>
      </c>
      <c r="C6" s="73">
        <f>Presupuesto_Inversiones!C6</f>
        <v>8500</v>
      </c>
      <c r="D6" s="7">
        <f t="shared" ref="D6:D16" si="4">IFERROR($C6/$Y6,0)</f>
        <v>850</v>
      </c>
      <c r="E6" s="7">
        <f t="shared" ref="E6:E16" si="5">IF($Y6&gt;1,$C6/$Y6,0)</f>
        <v>850</v>
      </c>
      <c r="F6" s="7">
        <f t="shared" ref="F6:F16" si="6">IF($Y6&gt;2,$C6/$Y6,0)</f>
        <v>850</v>
      </c>
      <c r="G6" s="7">
        <f t="shared" ref="G6:G16" si="7">IF($Y6&gt;3,$C6/$Y6,0)</f>
        <v>850</v>
      </c>
      <c r="H6" s="7">
        <f t="shared" ref="H6:H16" si="8">IF($Y6&gt;4,$C6/$Y6,0)</f>
        <v>850</v>
      </c>
      <c r="I6" s="73">
        <f>Presupuesto_Inversiones!D6</f>
        <v>0</v>
      </c>
      <c r="J6" s="7">
        <f t="shared" ref="J6:J16" si="9">IFERROR($I6/$Y6,0)</f>
        <v>0</v>
      </c>
      <c r="K6" s="7">
        <f t="shared" ref="K6:K16" si="10">IF($Y6&gt;1,$I6/$Y6,0)</f>
        <v>0</v>
      </c>
      <c r="L6" s="7">
        <f t="shared" ref="L6:L16" si="11">IF($Y6&gt;2,$I6/$Y6,0)</f>
        <v>0</v>
      </c>
      <c r="M6" s="7">
        <f t="shared" ref="M6:M16" si="12">IF($Y6&gt;3,$I6/$Y6,0)</f>
        <v>0</v>
      </c>
      <c r="N6" s="73">
        <f>Presupuesto_Inversiones!E6</f>
        <v>600</v>
      </c>
      <c r="O6" s="7">
        <f t="shared" ref="O6:O16" si="13">IFERROR($N6/$Y6,0)</f>
        <v>60</v>
      </c>
      <c r="P6" s="7">
        <f t="shared" ref="P6:P16" si="14">IF($Y6&gt;1,$N6/$Y6,0)</f>
        <v>60</v>
      </c>
      <c r="Q6" s="7">
        <f t="shared" ref="Q6:Q16" si="15">IF($Y6&gt;2,$N6/$Y6,0)</f>
        <v>60</v>
      </c>
      <c r="R6" s="73">
        <f>Presupuesto_Inversiones!F6</f>
        <v>0</v>
      </c>
      <c r="S6" s="7">
        <f t="shared" ref="S6:S16" si="16">IFERROR($R6/$Y6,0)</f>
        <v>0</v>
      </c>
      <c r="T6" s="7">
        <f t="shared" ref="T6:T16" si="17">IF($Y6&gt;1,$R6/$Y6,0)</f>
        <v>0</v>
      </c>
      <c r="U6" s="73">
        <f>Presupuesto_Inversiones!G6</f>
        <v>600</v>
      </c>
      <c r="V6" s="7">
        <f t="shared" ref="V6:V16" si="18">IFERROR($U6/$Y6,0)</f>
        <v>60</v>
      </c>
      <c r="W6" s="74">
        <f>Presupuesto_Inversiones!H6</f>
        <v>0</v>
      </c>
      <c r="X6" s="73">
        <f t="shared" si="1"/>
        <v>9700</v>
      </c>
      <c r="Y6" s="7">
        <f>Presupuesto_Inversiones!J6</f>
        <v>10</v>
      </c>
      <c r="Z6" s="77">
        <f t="shared" ref="Z6:Z16" si="19">D6</f>
        <v>850</v>
      </c>
      <c r="AA6" s="77">
        <f t="shared" ref="AA6:AA16" si="20">E6+J6</f>
        <v>850</v>
      </c>
      <c r="AB6" s="77">
        <f t="shared" ref="AB6:AB16" si="21">F6+K6+O6</f>
        <v>910</v>
      </c>
      <c r="AC6" s="77">
        <f t="shared" ref="AC6:AC16" si="22">+G6+L6+P6+S6</f>
        <v>910</v>
      </c>
      <c r="AD6" s="77">
        <f t="shared" ref="AD6:AD16" si="23">+H6+M6+Q6+T6+V6</f>
        <v>970</v>
      </c>
      <c r="AE6" s="61">
        <f t="shared" ref="AE6:AE16" si="24">SUM(Z6:AD6)</f>
        <v>4490</v>
      </c>
      <c r="AF6" s="61">
        <f t="shared" ref="AF6:AF16" si="25">X6-AE6</f>
        <v>5210</v>
      </c>
    </row>
    <row r="7" spans="1:32" x14ac:dyDescent="0.25">
      <c r="A7" s="24"/>
      <c r="B7" s="55" t="s">
        <v>116</v>
      </c>
      <c r="C7" s="73">
        <f>Presupuesto_Inversiones!C7</f>
        <v>1000</v>
      </c>
      <c r="D7" s="7">
        <f t="shared" si="4"/>
        <v>333.33333333333331</v>
      </c>
      <c r="E7" s="7">
        <f t="shared" si="5"/>
        <v>333.33333333333331</v>
      </c>
      <c r="F7" s="7">
        <f t="shared" si="6"/>
        <v>333.33333333333331</v>
      </c>
      <c r="G7" s="7">
        <f t="shared" si="7"/>
        <v>0</v>
      </c>
      <c r="H7" s="7">
        <f t="shared" si="8"/>
        <v>0</v>
      </c>
      <c r="I7" s="73">
        <f>Presupuesto_Inversiones!D7</f>
        <v>0</v>
      </c>
      <c r="J7" s="7">
        <f t="shared" si="9"/>
        <v>0</v>
      </c>
      <c r="K7" s="7">
        <f t="shared" si="10"/>
        <v>0</v>
      </c>
      <c r="L7" s="7">
        <f t="shared" si="11"/>
        <v>0</v>
      </c>
      <c r="M7" s="7">
        <f t="shared" si="12"/>
        <v>0</v>
      </c>
      <c r="N7" s="73">
        <f>Presupuesto_Inversiones!E7</f>
        <v>0</v>
      </c>
      <c r="O7" s="7">
        <f t="shared" si="13"/>
        <v>0</v>
      </c>
      <c r="P7" s="7">
        <f t="shared" si="14"/>
        <v>0</v>
      </c>
      <c r="Q7" s="7">
        <f t="shared" si="15"/>
        <v>0</v>
      </c>
      <c r="R7" s="73">
        <f>Presupuesto_Inversiones!F7</f>
        <v>0</v>
      </c>
      <c r="S7" s="7">
        <f t="shared" si="16"/>
        <v>0</v>
      </c>
      <c r="T7" s="7">
        <f t="shared" si="17"/>
        <v>0</v>
      </c>
      <c r="U7" s="73">
        <f>Presupuesto_Inversiones!G7</f>
        <v>0</v>
      </c>
      <c r="V7" s="7">
        <f t="shared" si="18"/>
        <v>0</v>
      </c>
      <c r="W7" s="74">
        <f>Presupuesto_Inversiones!H7</f>
        <v>0</v>
      </c>
      <c r="X7" s="73">
        <f t="shared" si="1"/>
        <v>1000</v>
      </c>
      <c r="Y7" s="7">
        <f>Presupuesto_Inversiones!J7</f>
        <v>3</v>
      </c>
      <c r="Z7" s="77">
        <f t="shared" si="19"/>
        <v>333.33333333333331</v>
      </c>
      <c r="AA7" s="77">
        <f t="shared" si="20"/>
        <v>333.33333333333331</v>
      </c>
      <c r="AB7" s="77">
        <f t="shared" si="21"/>
        <v>333.33333333333331</v>
      </c>
      <c r="AC7" s="77">
        <f t="shared" si="22"/>
        <v>0</v>
      </c>
      <c r="AD7" s="77">
        <f t="shared" si="23"/>
        <v>0</v>
      </c>
      <c r="AE7" s="61">
        <f t="shared" si="24"/>
        <v>1000</v>
      </c>
      <c r="AF7" s="61">
        <f t="shared" si="25"/>
        <v>0</v>
      </c>
    </row>
    <row r="8" spans="1:32" x14ac:dyDescent="0.25">
      <c r="A8" s="24"/>
      <c r="B8" s="55" t="s">
        <v>108</v>
      </c>
      <c r="C8" s="73">
        <f>Presupuesto_Inversiones!C8</f>
        <v>1200</v>
      </c>
      <c r="D8" s="7">
        <f t="shared" si="4"/>
        <v>400</v>
      </c>
      <c r="E8" s="7">
        <f t="shared" si="5"/>
        <v>400</v>
      </c>
      <c r="F8" s="7">
        <f t="shared" si="6"/>
        <v>400</v>
      </c>
      <c r="G8" s="7">
        <f t="shared" si="7"/>
        <v>0</v>
      </c>
      <c r="H8" s="7">
        <f t="shared" si="8"/>
        <v>0</v>
      </c>
      <c r="I8" s="73">
        <f>Presupuesto_Inversiones!D8</f>
        <v>0</v>
      </c>
      <c r="J8" s="7">
        <f t="shared" si="9"/>
        <v>0</v>
      </c>
      <c r="K8" s="7">
        <f t="shared" si="10"/>
        <v>0</v>
      </c>
      <c r="L8" s="7">
        <f t="shared" si="11"/>
        <v>0</v>
      </c>
      <c r="M8" s="7">
        <f t="shared" si="12"/>
        <v>0</v>
      </c>
      <c r="N8" s="73">
        <f>Presupuesto_Inversiones!E8</f>
        <v>200</v>
      </c>
      <c r="O8" s="7">
        <f t="shared" si="13"/>
        <v>66.666666666666671</v>
      </c>
      <c r="P8" s="7">
        <f t="shared" si="14"/>
        <v>66.666666666666671</v>
      </c>
      <c r="Q8" s="7">
        <f t="shared" si="15"/>
        <v>66.666666666666671</v>
      </c>
      <c r="R8" s="73">
        <f>Presupuesto_Inversiones!F8</f>
        <v>0</v>
      </c>
      <c r="S8" s="7">
        <f t="shared" si="16"/>
        <v>0</v>
      </c>
      <c r="T8" s="7">
        <f t="shared" si="17"/>
        <v>0</v>
      </c>
      <c r="U8" s="73">
        <f>Presupuesto_Inversiones!G8</f>
        <v>200</v>
      </c>
      <c r="V8" s="7">
        <f t="shared" si="18"/>
        <v>66.666666666666671</v>
      </c>
      <c r="W8" s="74">
        <f>Presupuesto_Inversiones!H8</f>
        <v>0</v>
      </c>
      <c r="X8" s="73">
        <f t="shared" si="1"/>
        <v>1600</v>
      </c>
      <c r="Y8" s="7">
        <f>Presupuesto_Inversiones!J8</f>
        <v>3</v>
      </c>
      <c r="Z8" s="77">
        <f t="shared" si="19"/>
        <v>400</v>
      </c>
      <c r="AA8" s="77">
        <f t="shared" si="20"/>
        <v>400</v>
      </c>
      <c r="AB8" s="77">
        <f t="shared" si="21"/>
        <v>466.66666666666669</v>
      </c>
      <c r="AC8" s="77">
        <f t="shared" si="22"/>
        <v>66.666666666666671</v>
      </c>
      <c r="AD8" s="77">
        <f t="shared" si="23"/>
        <v>133.33333333333334</v>
      </c>
      <c r="AE8" s="61">
        <f t="shared" si="24"/>
        <v>1466.6666666666667</v>
      </c>
      <c r="AF8" s="61">
        <f t="shared" si="25"/>
        <v>133.33333333333326</v>
      </c>
    </row>
    <row r="9" spans="1:32" x14ac:dyDescent="0.25">
      <c r="A9" s="24"/>
      <c r="B9" s="55" t="s">
        <v>114</v>
      </c>
      <c r="C9" s="73">
        <f>Presupuesto_Inversiones!C9</f>
        <v>800</v>
      </c>
      <c r="D9" s="7">
        <f t="shared" si="4"/>
        <v>266.66666666666669</v>
      </c>
      <c r="E9" s="7">
        <f t="shared" si="5"/>
        <v>266.66666666666669</v>
      </c>
      <c r="F9" s="7">
        <f t="shared" si="6"/>
        <v>266.66666666666669</v>
      </c>
      <c r="G9" s="7">
        <f t="shared" si="7"/>
        <v>0</v>
      </c>
      <c r="H9" s="7">
        <f t="shared" si="8"/>
        <v>0</v>
      </c>
      <c r="I9" s="73">
        <f>Presupuesto_Inversiones!D9</f>
        <v>0</v>
      </c>
      <c r="J9" s="7">
        <f t="shared" si="9"/>
        <v>0</v>
      </c>
      <c r="K9" s="7">
        <f t="shared" si="10"/>
        <v>0</v>
      </c>
      <c r="L9" s="7">
        <f t="shared" si="11"/>
        <v>0</v>
      </c>
      <c r="M9" s="7">
        <f t="shared" si="12"/>
        <v>0</v>
      </c>
      <c r="N9" s="73">
        <f>Presupuesto_Inversiones!E9</f>
        <v>0</v>
      </c>
      <c r="O9" s="7">
        <f t="shared" si="13"/>
        <v>0</v>
      </c>
      <c r="P9" s="7">
        <f t="shared" si="14"/>
        <v>0</v>
      </c>
      <c r="Q9" s="7">
        <f t="shared" si="15"/>
        <v>0</v>
      </c>
      <c r="R9" s="73">
        <f>Presupuesto_Inversiones!F9</f>
        <v>0</v>
      </c>
      <c r="S9" s="7">
        <f t="shared" si="16"/>
        <v>0</v>
      </c>
      <c r="T9" s="7">
        <f t="shared" si="17"/>
        <v>0</v>
      </c>
      <c r="U9" s="73">
        <f>Presupuesto_Inversiones!G9</f>
        <v>0</v>
      </c>
      <c r="V9" s="7">
        <f t="shared" si="18"/>
        <v>0</v>
      </c>
      <c r="W9" s="74">
        <f>Presupuesto_Inversiones!H9</f>
        <v>0</v>
      </c>
      <c r="X9" s="73">
        <f t="shared" si="1"/>
        <v>800</v>
      </c>
      <c r="Y9" s="7">
        <f>Presupuesto_Inversiones!J9</f>
        <v>3</v>
      </c>
      <c r="Z9" s="77">
        <f t="shared" si="19"/>
        <v>266.66666666666669</v>
      </c>
      <c r="AA9" s="77">
        <f t="shared" si="20"/>
        <v>266.66666666666669</v>
      </c>
      <c r="AB9" s="77">
        <f t="shared" si="21"/>
        <v>266.66666666666669</v>
      </c>
      <c r="AC9" s="77">
        <f t="shared" si="22"/>
        <v>0</v>
      </c>
      <c r="AD9" s="77">
        <f t="shared" si="23"/>
        <v>0</v>
      </c>
      <c r="AE9" s="61">
        <f t="shared" si="24"/>
        <v>800</v>
      </c>
      <c r="AF9" s="61">
        <f t="shared" si="25"/>
        <v>0</v>
      </c>
    </row>
    <row r="10" spans="1:32" x14ac:dyDescent="0.25">
      <c r="A10" s="24"/>
      <c r="B10" s="55" t="s">
        <v>109</v>
      </c>
      <c r="C10" s="73">
        <f>Presupuesto_Inversiones!C10</f>
        <v>1500</v>
      </c>
      <c r="D10" s="7">
        <f t="shared" si="4"/>
        <v>150</v>
      </c>
      <c r="E10" s="7">
        <f t="shared" si="5"/>
        <v>150</v>
      </c>
      <c r="F10" s="7">
        <f t="shared" si="6"/>
        <v>150</v>
      </c>
      <c r="G10" s="7">
        <f t="shared" si="7"/>
        <v>150</v>
      </c>
      <c r="H10" s="7">
        <f t="shared" si="8"/>
        <v>150</v>
      </c>
      <c r="I10" s="73">
        <f>Presupuesto_Inversiones!D10</f>
        <v>0</v>
      </c>
      <c r="J10" s="7">
        <f t="shared" si="9"/>
        <v>0</v>
      </c>
      <c r="K10" s="7">
        <f t="shared" si="10"/>
        <v>0</v>
      </c>
      <c r="L10" s="7">
        <f t="shared" si="11"/>
        <v>0</v>
      </c>
      <c r="M10" s="7">
        <f t="shared" si="12"/>
        <v>0</v>
      </c>
      <c r="N10" s="73">
        <f>Presupuesto_Inversiones!E10</f>
        <v>0</v>
      </c>
      <c r="O10" s="7">
        <f t="shared" si="13"/>
        <v>0</v>
      </c>
      <c r="P10" s="7">
        <f t="shared" si="14"/>
        <v>0</v>
      </c>
      <c r="Q10" s="7">
        <f t="shared" si="15"/>
        <v>0</v>
      </c>
      <c r="R10" s="73">
        <f>Presupuesto_Inversiones!F10</f>
        <v>0</v>
      </c>
      <c r="S10" s="7">
        <f t="shared" si="16"/>
        <v>0</v>
      </c>
      <c r="T10" s="7">
        <f t="shared" si="17"/>
        <v>0</v>
      </c>
      <c r="U10" s="73">
        <f>Presupuesto_Inversiones!G10</f>
        <v>0</v>
      </c>
      <c r="V10" s="7">
        <f t="shared" si="18"/>
        <v>0</v>
      </c>
      <c r="W10" s="74">
        <f>Presupuesto_Inversiones!H10</f>
        <v>0</v>
      </c>
      <c r="X10" s="73">
        <f t="shared" si="1"/>
        <v>1500</v>
      </c>
      <c r="Y10" s="7">
        <f>Presupuesto_Inversiones!J10</f>
        <v>10</v>
      </c>
      <c r="Z10" s="77">
        <f t="shared" si="19"/>
        <v>150</v>
      </c>
      <c r="AA10" s="77">
        <f t="shared" si="20"/>
        <v>150</v>
      </c>
      <c r="AB10" s="77">
        <f t="shared" si="21"/>
        <v>150</v>
      </c>
      <c r="AC10" s="77">
        <f t="shared" si="22"/>
        <v>150</v>
      </c>
      <c r="AD10" s="77">
        <f t="shared" si="23"/>
        <v>150</v>
      </c>
      <c r="AE10" s="61">
        <f t="shared" si="24"/>
        <v>750</v>
      </c>
      <c r="AF10" s="61">
        <f t="shared" si="25"/>
        <v>750</v>
      </c>
    </row>
    <row r="11" spans="1:32" x14ac:dyDescent="0.25">
      <c r="A11" s="24"/>
      <c r="B11" s="55" t="s">
        <v>110</v>
      </c>
      <c r="C11" s="73">
        <f>Presupuesto_Inversiones!C11</f>
        <v>0</v>
      </c>
      <c r="D11" s="7">
        <f t="shared" si="4"/>
        <v>0</v>
      </c>
      <c r="E11" s="7">
        <f t="shared" si="5"/>
        <v>0</v>
      </c>
      <c r="F11" s="7">
        <f t="shared" si="6"/>
        <v>0</v>
      </c>
      <c r="G11" s="7">
        <f t="shared" si="7"/>
        <v>0</v>
      </c>
      <c r="H11" s="7">
        <f t="shared" si="8"/>
        <v>0</v>
      </c>
      <c r="I11" s="73">
        <f>Presupuesto_Inversiones!D11</f>
        <v>0</v>
      </c>
      <c r="J11" s="7">
        <f t="shared" si="9"/>
        <v>0</v>
      </c>
      <c r="K11" s="7">
        <f t="shared" si="10"/>
        <v>0</v>
      </c>
      <c r="L11" s="7">
        <f t="shared" si="11"/>
        <v>0</v>
      </c>
      <c r="M11" s="7">
        <f t="shared" si="12"/>
        <v>0</v>
      </c>
      <c r="N11" s="73">
        <f>Presupuesto_Inversiones!E11</f>
        <v>0</v>
      </c>
      <c r="O11" s="7">
        <f t="shared" si="13"/>
        <v>0</v>
      </c>
      <c r="P11" s="7">
        <f t="shared" si="14"/>
        <v>0</v>
      </c>
      <c r="Q11" s="7">
        <f t="shared" si="15"/>
        <v>0</v>
      </c>
      <c r="R11" s="73">
        <f>Presupuesto_Inversiones!F11</f>
        <v>0</v>
      </c>
      <c r="S11" s="7">
        <f t="shared" si="16"/>
        <v>0</v>
      </c>
      <c r="T11" s="7">
        <f t="shared" si="17"/>
        <v>0</v>
      </c>
      <c r="U11" s="73">
        <f>Presupuesto_Inversiones!G11</f>
        <v>0</v>
      </c>
      <c r="V11" s="7">
        <f t="shared" si="18"/>
        <v>0</v>
      </c>
      <c r="W11" s="74">
        <f>Presupuesto_Inversiones!H11</f>
        <v>0</v>
      </c>
      <c r="X11" s="73">
        <f t="shared" si="1"/>
        <v>0</v>
      </c>
      <c r="Y11" s="7">
        <f>Presupuesto_Inversiones!J11</f>
        <v>0</v>
      </c>
      <c r="Z11" s="77">
        <f t="shared" si="19"/>
        <v>0</v>
      </c>
      <c r="AA11" s="77">
        <f t="shared" si="20"/>
        <v>0</v>
      </c>
      <c r="AB11" s="77">
        <f t="shared" si="21"/>
        <v>0</v>
      </c>
      <c r="AC11" s="77">
        <f t="shared" si="22"/>
        <v>0</v>
      </c>
      <c r="AD11" s="77">
        <f t="shared" si="23"/>
        <v>0</v>
      </c>
      <c r="AE11" s="61">
        <f t="shared" si="24"/>
        <v>0</v>
      </c>
      <c r="AF11" s="61">
        <f t="shared" si="25"/>
        <v>0</v>
      </c>
    </row>
    <row r="12" spans="1:32" x14ac:dyDescent="0.25">
      <c r="A12" s="24"/>
      <c r="B12" s="55" t="s">
        <v>117</v>
      </c>
      <c r="C12" s="73">
        <f>Presupuesto_Inversiones!C12</f>
        <v>1000</v>
      </c>
      <c r="D12" s="7">
        <f t="shared" si="4"/>
        <v>333.33333333333331</v>
      </c>
      <c r="E12" s="7">
        <f t="shared" si="5"/>
        <v>333.33333333333331</v>
      </c>
      <c r="F12" s="7">
        <f t="shared" si="6"/>
        <v>333.33333333333331</v>
      </c>
      <c r="G12" s="7">
        <f t="shared" si="7"/>
        <v>0</v>
      </c>
      <c r="H12" s="7">
        <f t="shared" si="8"/>
        <v>0</v>
      </c>
      <c r="I12" s="73">
        <f>Presupuesto_Inversiones!D12</f>
        <v>0</v>
      </c>
      <c r="J12" s="7">
        <f t="shared" si="9"/>
        <v>0</v>
      </c>
      <c r="K12" s="7">
        <f t="shared" si="10"/>
        <v>0</v>
      </c>
      <c r="L12" s="7">
        <f t="shared" si="11"/>
        <v>0</v>
      </c>
      <c r="M12" s="7">
        <f t="shared" si="12"/>
        <v>0</v>
      </c>
      <c r="N12" s="73">
        <f>Presupuesto_Inversiones!E12</f>
        <v>0</v>
      </c>
      <c r="O12" s="7">
        <f t="shared" si="13"/>
        <v>0</v>
      </c>
      <c r="P12" s="7">
        <f t="shared" si="14"/>
        <v>0</v>
      </c>
      <c r="Q12" s="7">
        <f t="shared" si="15"/>
        <v>0</v>
      </c>
      <c r="R12" s="73">
        <f>Presupuesto_Inversiones!F12</f>
        <v>0</v>
      </c>
      <c r="S12" s="7">
        <f t="shared" si="16"/>
        <v>0</v>
      </c>
      <c r="T12" s="7">
        <f t="shared" si="17"/>
        <v>0</v>
      </c>
      <c r="U12" s="73">
        <f>Presupuesto_Inversiones!G12</f>
        <v>0</v>
      </c>
      <c r="V12" s="7">
        <f t="shared" si="18"/>
        <v>0</v>
      </c>
      <c r="W12" s="74">
        <f>Presupuesto_Inversiones!H12</f>
        <v>0</v>
      </c>
      <c r="X12" s="73">
        <f t="shared" si="1"/>
        <v>1000</v>
      </c>
      <c r="Y12" s="7">
        <f>Presupuesto_Inversiones!J12</f>
        <v>3</v>
      </c>
      <c r="Z12" s="77">
        <f t="shared" si="19"/>
        <v>333.33333333333331</v>
      </c>
      <c r="AA12" s="77">
        <f t="shared" si="20"/>
        <v>333.33333333333331</v>
      </c>
      <c r="AB12" s="77">
        <f t="shared" si="21"/>
        <v>333.33333333333331</v>
      </c>
      <c r="AC12" s="77">
        <f t="shared" si="22"/>
        <v>0</v>
      </c>
      <c r="AD12" s="77">
        <f t="shared" si="23"/>
        <v>0</v>
      </c>
      <c r="AE12" s="61">
        <f t="shared" si="24"/>
        <v>1000</v>
      </c>
      <c r="AF12" s="61">
        <f t="shared" si="25"/>
        <v>0</v>
      </c>
    </row>
    <row r="13" spans="1:32" x14ac:dyDescent="0.25">
      <c r="A13" s="24"/>
      <c r="B13" s="55" t="s">
        <v>118</v>
      </c>
      <c r="C13" s="73">
        <f>Presupuesto_Inversiones!C13</f>
        <v>2500</v>
      </c>
      <c r="D13" s="7">
        <f t="shared" si="4"/>
        <v>500</v>
      </c>
      <c r="E13" s="7">
        <f t="shared" si="5"/>
        <v>500</v>
      </c>
      <c r="F13" s="7">
        <f t="shared" si="6"/>
        <v>500</v>
      </c>
      <c r="G13" s="7">
        <f t="shared" si="7"/>
        <v>500</v>
      </c>
      <c r="H13" s="7">
        <f t="shared" si="8"/>
        <v>500</v>
      </c>
      <c r="I13" s="73">
        <f>Presupuesto_Inversiones!D13</f>
        <v>0</v>
      </c>
      <c r="J13" s="7">
        <f t="shared" si="9"/>
        <v>0</v>
      </c>
      <c r="K13" s="7">
        <f t="shared" si="10"/>
        <v>0</v>
      </c>
      <c r="L13" s="7">
        <f t="shared" si="11"/>
        <v>0</v>
      </c>
      <c r="M13" s="7">
        <f t="shared" si="12"/>
        <v>0</v>
      </c>
      <c r="N13" s="73">
        <f>Presupuesto_Inversiones!E13</f>
        <v>0</v>
      </c>
      <c r="O13" s="7">
        <f t="shared" si="13"/>
        <v>0</v>
      </c>
      <c r="P13" s="7">
        <f t="shared" si="14"/>
        <v>0</v>
      </c>
      <c r="Q13" s="7">
        <f t="shared" si="15"/>
        <v>0</v>
      </c>
      <c r="R13" s="73">
        <f>Presupuesto_Inversiones!F13</f>
        <v>0</v>
      </c>
      <c r="S13" s="7">
        <f t="shared" si="16"/>
        <v>0</v>
      </c>
      <c r="T13" s="7">
        <f t="shared" si="17"/>
        <v>0</v>
      </c>
      <c r="U13" s="73">
        <f>Presupuesto_Inversiones!G13</f>
        <v>0</v>
      </c>
      <c r="V13" s="7">
        <f t="shared" si="18"/>
        <v>0</v>
      </c>
      <c r="W13" s="74">
        <f>Presupuesto_Inversiones!H13</f>
        <v>0</v>
      </c>
      <c r="X13" s="73">
        <f t="shared" si="1"/>
        <v>2500</v>
      </c>
      <c r="Y13" s="7">
        <f>Presupuesto_Inversiones!J13</f>
        <v>5</v>
      </c>
      <c r="Z13" s="77">
        <f t="shared" si="19"/>
        <v>500</v>
      </c>
      <c r="AA13" s="77">
        <f t="shared" si="20"/>
        <v>500</v>
      </c>
      <c r="AB13" s="77">
        <f t="shared" si="21"/>
        <v>500</v>
      </c>
      <c r="AC13" s="77">
        <f t="shared" si="22"/>
        <v>500</v>
      </c>
      <c r="AD13" s="77">
        <f t="shared" si="23"/>
        <v>500</v>
      </c>
      <c r="AE13" s="61">
        <f t="shared" si="24"/>
        <v>2500</v>
      </c>
      <c r="AF13" s="61">
        <f t="shared" si="25"/>
        <v>0</v>
      </c>
    </row>
    <row r="14" spans="1:32" x14ac:dyDescent="0.25">
      <c r="A14" s="24"/>
      <c r="B14" s="55"/>
      <c r="C14" s="73">
        <f>Presupuesto_Inversiones!C14</f>
        <v>0</v>
      </c>
      <c r="D14" s="7">
        <f t="shared" si="4"/>
        <v>0</v>
      </c>
      <c r="E14" s="7">
        <f t="shared" si="5"/>
        <v>0</v>
      </c>
      <c r="F14" s="7">
        <f t="shared" si="6"/>
        <v>0</v>
      </c>
      <c r="G14" s="7">
        <f t="shared" si="7"/>
        <v>0</v>
      </c>
      <c r="H14" s="7">
        <f t="shared" si="8"/>
        <v>0</v>
      </c>
      <c r="I14" s="73">
        <f>Presupuesto_Inversiones!D14</f>
        <v>0</v>
      </c>
      <c r="J14" s="7">
        <f t="shared" si="9"/>
        <v>0</v>
      </c>
      <c r="K14" s="7">
        <f t="shared" si="10"/>
        <v>0</v>
      </c>
      <c r="L14" s="7">
        <f t="shared" si="11"/>
        <v>0</v>
      </c>
      <c r="M14" s="7">
        <f t="shared" si="12"/>
        <v>0</v>
      </c>
      <c r="N14" s="73">
        <f>Presupuesto_Inversiones!E14</f>
        <v>0</v>
      </c>
      <c r="O14" s="7">
        <f t="shared" si="13"/>
        <v>0</v>
      </c>
      <c r="P14" s="7">
        <f t="shared" si="14"/>
        <v>0</v>
      </c>
      <c r="Q14" s="7">
        <f t="shared" si="15"/>
        <v>0</v>
      </c>
      <c r="R14" s="73">
        <f>Presupuesto_Inversiones!F14</f>
        <v>0</v>
      </c>
      <c r="S14" s="7">
        <f t="shared" si="16"/>
        <v>0</v>
      </c>
      <c r="T14" s="7">
        <f t="shared" si="17"/>
        <v>0</v>
      </c>
      <c r="U14" s="73">
        <f>Presupuesto_Inversiones!G14</f>
        <v>0</v>
      </c>
      <c r="V14" s="7">
        <f t="shared" si="18"/>
        <v>0</v>
      </c>
      <c r="W14" s="74">
        <f>Presupuesto_Inversiones!H14</f>
        <v>0</v>
      </c>
      <c r="X14" s="73">
        <f t="shared" si="1"/>
        <v>0</v>
      </c>
      <c r="Y14" s="7">
        <f>Presupuesto_Inversiones!J14</f>
        <v>0</v>
      </c>
      <c r="Z14" s="77">
        <f t="shared" si="19"/>
        <v>0</v>
      </c>
      <c r="AA14" s="77">
        <f t="shared" si="20"/>
        <v>0</v>
      </c>
      <c r="AB14" s="77">
        <f t="shared" si="21"/>
        <v>0</v>
      </c>
      <c r="AC14" s="77">
        <f t="shared" si="22"/>
        <v>0</v>
      </c>
      <c r="AD14" s="77">
        <f t="shared" si="23"/>
        <v>0</v>
      </c>
      <c r="AE14" s="61">
        <f t="shared" si="24"/>
        <v>0</v>
      </c>
      <c r="AF14" s="61">
        <f t="shared" si="25"/>
        <v>0</v>
      </c>
    </row>
    <row r="15" spans="1:32" x14ac:dyDescent="0.25">
      <c r="A15" s="24"/>
      <c r="B15" s="55"/>
      <c r="C15" s="73">
        <f>Presupuesto_Inversiones!C15</f>
        <v>0</v>
      </c>
      <c r="D15" s="7">
        <f t="shared" si="4"/>
        <v>0</v>
      </c>
      <c r="E15" s="7">
        <f t="shared" si="5"/>
        <v>0</v>
      </c>
      <c r="F15" s="7">
        <f t="shared" si="6"/>
        <v>0</v>
      </c>
      <c r="G15" s="7">
        <f t="shared" si="7"/>
        <v>0</v>
      </c>
      <c r="H15" s="7">
        <f t="shared" si="8"/>
        <v>0</v>
      </c>
      <c r="I15" s="73">
        <f>Presupuesto_Inversiones!D15</f>
        <v>0</v>
      </c>
      <c r="J15" s="7">
        <f t="shared" si="9"/>
        <v>0</v>
      </c>
      <c r="K15" s="7">
        <f t="shared" si="10"/>
        <v>0</v>
      </c>
      <c r="L15" s="7">
        <f t="shared" si="11"/>
        <v>0</v>
      </c>
      <c r="M15" s="7">
        <f t="shared" si="12"/>
        <v>0</v>
      </c>
      <c r="N15" s="73">
        <f>Presupuesto_Inversiones!E15</f>
        <v>0</v>
      </c>
      <c r="O15" s="7">
        <f t="shared" si="13"/>
        <v>0</v>
      </c>
      <c r="P15" s="7">
        <f t="shared" si="14"/>
        <v>0</v>
      </c>
      <c r="Q15" s="7">
        <f t="shared" si="15"/>
        <v>0</v>
      </c>
      <c r="R15" s="73">
        <f>Presupuesto_Inversiones!F15</f>
        <v>0</v>
      </c>
      <c r="S15" s="7">
        <f t="shared" si="16"/>
        <v>0</v>
      </c>
      <c r="T15" s="7">
        <f t="shared" si="17"/>
        <v>0</v>
      </c>
      <c r="U15" s="73">
        <f>Presupuesto_Inversiones!G15</f>
        <v>0</v>
      </c>
      <c r="V15" s="7">
        <f t="shared" si="18"/>
        <v>0</v>
      </c>
      <c r="W15" s="74">
        <f>Presupuesto_Inversiones!H15</f>
        <v>0</v>
      </c>
      <c r="X15" s="73">
        <f t="shared" si="1"/>
        <v>0</v>
      </c>
      <c r="Y15" s="7">
        <f>Presupuesto_Inversiones!J15</f>
        <v>0</v>
      </c>
      <c r="Z15" s="77">
        <f t="shared" si="19"/>
        <v>0</v>
      </c>
      <c r="AA15" s="77">
        <f t="shared" si="20"/>
        <v>0</v>
      </c>
      <c r="AB15" s="77">
        <f t="shared" si="21"/>
        <v>0</v>
      </c>
      <c r="AC15" s="77">
        <f t="shared" si="22"/>
        <v>0</v>
      </c>
      <c r="AD15" s="77">
        <f t="shared" si="23"/>
        <v>0</v>
      </c>
      <c r="AE15" s="61">
        <f t="shared" si="24"/>
        <v>0</v>
      </c>
      <c r="AF15" s="61">
        <f t="shared" si="25"/>
        <v>0</v>
      </c>
    </row>
    <row r="16" spans="1:32" x14ac:dyDescent="0.25">
      <c r="A16" s="24"/>
      <c r="B16" s="55"/>
      <c r="C16" s="73">
        <f>Presupuesto_Inversiones!C16</f>
        <v>0</v>
      </c>
      <c r="D16" s="7">
        <f t="shared" si="4"/>
        <v>0</v>
      </c>
      <c r="E16" s="7">
        <f t="shared" si="5"/>
        <v>0</v>
      </c>
      <c r="F16" s="7">
        <f t="shared" si="6"/>
        <v>0</v>
      </c>
      <c r="G16" s="7">
        <f t="shared" si="7"/>
        <v>0</v>
      </c>
      <c r="H16" s="7">
        <f t="shared" si="8"/>
        <v>0</v>
      </c>
      <c r="I16" s="73">
        <f>Presupuesto_Inversiones!D16</f>
        <v>0</v>
      </c>
      <c r="J16" s="7">
        <f t="shared" si="9"/>
        <v>0</v>
      </c>
      <c r="K16" s="7">
        <f t="shared" si="10"/>
        <v>0</v>
      </c>
      <c r="L16" s="7">
        <f t="shared" si="11"/>
        <v>0</v>
      </c>
      <c r="M16" s="7">
        <f t="shared" si="12"/>
        <v>0</v>
      </c>
      <c r="N16" s="73">
        <f>Presupuesto_Inversiones!E16</f>
        <v>0</v>
      </c>
      <c r="O16" s="7">
        <f t="shared" si="13"/>
        <v>0</v>
      </c>
      <c r="P16" s="7">
        <f t="shared" si="14"/>
        <v>0</v>
      </c>
      <c r="Q16" s="7">
        <f t="shared" si="15"/>
        <v>0</v>
      </c>
      <c r="R16" s="73">
        <f>Presupuesto_Inversiones!F16</f>
        <v>0</v>
      </c>
      <c r="S16" s="7">
        <f t="shared" si="16"/>
        <v>0</v>
      </c>
      <c r="T16" s="7">
        <f t="shared" si="17"/>
        <v>0</v>
      </c>
      <c r="U16" s="73">
        <f>Presupuesto_Inversiones!G16</f>
        <v>0</v>
      </c>
      <c r="V16" s="7">
        <f t="shared" si="18"/>
        <v>0</v>
      </c>
      <c r="W16" s="74">
        <f>Presupuesto_Inversiones!H16</f>
        <v>0</v>
      </c>
      <c r="X16" s="73">
        <f t="shared" si="1"/>
        <v>0</v>
      </c>
      <c r="Y16" s="7">
        <f>Presupuesto_Inversiones!J16</f>
        <v>0</v>
      </c>
      <c r="Z16" s="77">
        <f t="shared" si="19"/>
        <v>0</v>
      </c>
      <c r="AA16" s="77">
        <f t="shared" si="20"/>
        <v>0</v>
      </c>
      <c r="AB16" s="77">
        <f t="shared" si="21"/>
        <v>0</v>
      </c>
      <c r="AC16" s="77">
        <f t="shared" si="22"/>
        <v>0</v>
      </c>
      <c r="AD16" s="77">
        <f t="shared" si="23"/>
        <v>0</v>
      </c>
      <c r="AE16" s="61">
        <f t="shared" si="24"/>
        <v>0</v>
      </c>
      <c r="AF16" s="61">
        <f t="shared" si="25"/>
        <v>0</v>
      </c>
    </row>
    <row r="17" spans="1:32" ht="15.75" thickBot="1" x14ac:dyDescent="0.3">
      <c r="A17" s="13" t="s">
        <v>140</v>
      </c>
      <c r="B17" s="56"/>
      <c r="C17" s="62">
        <f>SUM(C5:C16)</f>
        <v>24000</v>
      </c>
      <c r="D17" s="63">
        <f t="shared" ref="D17:X17" si="26">SUM(D5:D16)</f>
        <v>4333.3333333333339</v>
      </c>
      <c r="E17" s="63">
        <f t="shared" si="26"/>
        <v>4333.3333333333339</v>
      </c>
      <c r="F17" s="63">
        <f t="shared" si="26"/>
        <v>4333.3333333333339</v>
      </c>
      <c r="G17" s="63">
        <f t="shared" si="26"/>
        <v>3000</v>
      </c>
      <c r="H17" s="64">
        <f t="shared" si="26"/>
        <v>3000</v>
      </c>
      <c r="I17" s="62">
        <f t="shared" si="26"/>
        <v>0</v>
      </c>
      <c r="J17" s="63">
        <f t="shared" si="26"/>
        <v>0</v>
      </c>
      <c r="K17" s="63">
        <f t="shared" si="26"/>
        <v>0</v>
      </c>
      <c r="L17" s="63">
        <f t="shared" si="26"/>
        <v>0</v>
      </c>
      <c r="M17" s="64">
        <f t="shared" si="26"/>
        <v>0</v>
      </c>
      <c r="N17" s="62">
        <f t="shared" si="26"/>
        <v>800</v>
      </c>
      <c r="O17" s="63">
        <f t="shared" si="26"/>
        <v>126.66666666666667</v>
      </c>
      <c r="P17" s="63">
        <f t="shared" si="26"/>
        <v>126.66666666666667</v>
      </c>
      <c r="Q17" s="64">
        <f t="shared" si="26"/>
        <v>126.66666666666667</v>
      </c>
      <c r="R17" s="62">
        <f t="shared" si="26"/>
        <v>0</v>
      </c>
      <c r="S17" s="63">
        <f t="shared" si="26"/>
        <v>0</v>
      </c>
      <c r="T17" s="64">
        <f t="shared" si="26"/>
        <v>0</v>
      </c>
      <c r="U17" s="62">
        <f t="shared" si="26"/>
        <v>800</v>
      </c>
      <c r="V17" s="64">
        <f t="shared" si="26"/>
        <v>126.66666666666667</v>
      </c>
      <c r="W17" s="68">
        <f t="shared" si="26"/>
        <v>0</v>
      </c>
      <c r="X17" s="62">
        <f t="shared" si="26"/>
        <v>25600</v>
      </c>
      <c r="Y17" s="63" t="s">
        <v>19</v>
      </c>
      <c r="Z17" s="78">
        <f t="shared" ref="Z17" si="27">SUM(Z5:Z16)</f>
        <v>4333.3333333333339</v>
      </c>
      <c r="AA17" s="78">
        <f t="shared" ref="AA17" si="28">SUM(AA5:AA16)</f>
        <v>4333.3333333333339</v>
      </c>
      <c r="AB17" s="78">
        <f t="shared" ref="AB17" si="29">SUM(AB5:AB16)</f>
        <v>4460</v>
      </c>
      <c r="AC17" s="78">
        <f t="shared" ref="AC17" si="30">SUM(AC5:AC16)</f>
        <v>3126.6666666666665</v>
      </c>
      <c r="AD17" s="78">
        <f t="shared" ref="AD17" si="31">SUM(AD5:AD16)</f>
        <v>3253.3333333333335</v>
      </c>
      <c r="AE17" s="64">
        <f>AE4</f>
        <v>19506.666666666664</v>
      </c>
      <c r="AF17" s="93">
        <f>AF4</f>
        <v>6093.333333333333</v>
      </c>
    </row>
  </sheetData>
  <mergeCells count="6">
    <mergeCell ref="U2:V2"/>
    <mergeCell ref="A3:B3"/>
    <mergeCell ref="C2:H2"/>
    <mergeCell ref="I2:M2"/>
    <mergeCell ref="N2:Q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showGridLines="0" workbookViewId="0">
      <selection activeCell="C4" sqref="C4"/>
    </sheetView>
  </sheetViews>
  <sheetFormatPr baseColWidth="10" defaultColWidth="9.140625" defaultRowHeight="15" x14ac:dyDescent="0.25"/>
  <cols>
    <col min="1" max="1" width="19" style="18" customWidth="1"/>
    <col min="2" max="3" width="9" style="18" customWidth="1"/>
    <col min="4" max="5" width="10.28515625" style="18" customWidth="1"/>
    <col min="6" max="6" width="12.140625" style="18" customWidth="1"/>
    <col min="7" max="8" width="10.28515625" style="18" customWidth="1"/>
    <col min="9" max="13" width="15.28515625" style="18" customWidth="1"/>
    <col min="14" max="17" width="13.85546875" style="18" customWidth="1"/>
    <col min="18" max="16384" width="9.140625" style="18"/>
  </cols>
  <sheetData>
    <row r="1" spans="1:13" x14ac:dyDescent="0.25">
      <c r="A1" s="8" t="s">
        <v>22</v>
      </c>
    </row>
    <row r="3" spans="1:13" ht="45" x14ac:dyDescent="0.25">
      <c r="A3" s="19" t="s">
        <v>0</v>
      </c>
      <c r="B3" s="19" t="s">
        <v>1</v>
      </c>
      <c r="C3" s="19" t="s">
        <v>27</v>
      </c>
      <c r="D3" s="19" t="s">
        <v>2</v>
      </c>
      <c r="E3" s="19" t="s">
        <v>3</v>
      </c>
      <c r="F3" s="19" t="s">
        <v>68</v>
      </c>
      <c r="G3" s="19" t="s">
        <v>4</v>
      </c>
      <c r="H3" s="19" t="s">
        <v>69</v>
      </c>
      <c r="I3" s="19" t="s">
        <v>24</v>
      </c>
      <c r="J3" s="19" t="s">
        <v>25</v>
      </c>
      <c r="K3" s="19" t="s">
        <v>119</v>
      </c>
      <c r="L3" s="19" t="s">
        <v>26</v>
      </c>
      <c r="M3" s="19" t="s">
        <v>120</v>
      </c>
    </row>
    <row r="4" spans="1:13" ht="45" x14ac:dyDescent="0.25">
      <c r="A4" s="94" t="s">
        <v>160</v>
      </c>
      <c r="B4" s="21" t="s">
        <v>161</v>
      </c>
      <c r="C4" s="97">
        <v>5.5</v>
      </c>
      <c r="D4" s="95">
        <f>900*12</f>
        <v>10800</v>
      </c>
      <c r="E4" s="95">
        <f>D4*1.03</f>
        <v>11124</v>
      </c>
      <c r="F4" s="95">
        <f t="shared" ref="F4:H4" si="0">E4*1.03</f>
        <v>11457.720000000001</v>
      </c>
      <c r="G4" s="95">
        <f t="shared" si="0"/>
        <v>11801.451600000002</v>
      </c>
      <c r="H4" s="95">
        <f t="shared" si="0"/>
        <v>12155.495148000002</v>
      </c>
      <c r="I4" s="96">
        <f>$C$4*D4</f>
        <v>59400</v>
      </c>
      <c r="J4" s="96">
        <f t="shared" ref="J4:M4" si="1">$C$4*E4</f>
        <v>61182</v>
      </c>
      <c r="K4" s="96">
        <f t="shared" si="1"/>
        <v>63017.460000000006</v>
      </c>
      <c r="L4" s="96">
        <f t="shared" si="1"/>
        <v>64907.983800000009</v>
      </c>
      <c r="M4" s="96">
        <f t="shared" si="1"/>
        <v>66855.223314000003</v>
      </c>
    </row>
    <row r="5" spans="1:13" x14ac:dyDescent="0.25">
      <c r="A5" s="32"/>
      <c r="B5" s="6"/>
      <c r="C5" s="6"/>
      <c r="D5" s="6"/>
      <c r="E5" s="6"/>
      <c r="F5" s="6"/>
      <c r="G5" s="6"/>
      <c r="H5" s="6"/>
      <c r="I5" s="20">
        <f>$C$5*D5</f>
        <v>0</v>
      </c>
      <c r="J5" s="20">
        <f t="shared" ref="J5:M5" si="2">$C$5*E5</f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</row>
    <row r="6" spans="1:13" x14ac:dyDescent="0.25">
      <c r="A6" s="32"/>
      <c r="B6" s="6"/>
      <c r="C6" s="6"/>
      <c r="D6" s="6"/>
      <c r="E6" s="6"/>
      <c r="F6" s="6"/>
      <c r="G6" s="6"/>
      <c r="H6" s="6"/>
      <c r="I6" s="20">
        <f>$C$6*D6</f>
        <v>0</v>
      </c>
      <c r="J6" s="20">
        <f t="shared" ref="J6:M6" si="3">$C$6*E6</f>
        <v>0</v>
      </c>
      <c r="K6" s="20">
        <f t="shared" si="3"/>
        <v>0</v>
      </c>
      <c r="L6" s="20">
        <f t="shared" si="3"/>
        <v>0</v>
      </c>
      <c r="M6" s="20">
        <f t="shared" si="3"/>
        <v>0</v>
      </c>
    </row>
    <row r="7" spans="1:13" x14ac:dyDescent="0.25">
      <c r="A7" s="32"/>
      <c r="B7" s="6"/>
      <c r="C7" s="6"/>
      <c r="D7" s="6"/>
      <c r="E7" s="6"/>
      <c r="F7" s="6"/>
      <c r="G7" s="6"/>
      <c r="H7" s="6"/>
      <c r="I7" s="20">
        <f>$C$7*D7</f>
        <v>0</v>
      </c>
      <c r="J7" s="20">
        <f t="shared" ref="J7:M7" si="4">$C$7*E7</f>
        <v>0</v>
      </c>
      <c r="K7" s="20">
        <f t="shared" si="4"/>
        <v>0</v>
      </c>
      <c r="L7" s="20">
        <f t="shared" si="4"/>
        <v>0</v>
      </c>
      <c r="M7" s="20">
        <f t="shared" si="4"/>
        <v>0</v>
      </c>
    </row>
    <row r="8" spans="1:13" x14ac:dyDescent="0.25">
      <c r="A8" s="32"/>
      <c r="B8" s="6"/>
      <c r="C8" s="6"/>
      <c r="D8" s="6"/>
      <c r="E8" s="6"/>
      <c r="F8" s="6"/>
      <c r="G8" s="6"/>
      <c r="H8" s="6"/>
      <c r="I8" s="20">
        <f>$C$8*D8</f>
        <v>0</v>
      </c>
      <c r="J8" s="20">
        <f t="shared" ref="J8:M8" si="5">$C$8*E8</f>
        <v>0</v>
      </c>
      <c r="K8" s="20">
        <f t="shared" si="5"/>
        <v>0</v>
      </c>
      <c r="L8" s="20">
        <f t="shared" si="5"/>
        <v>0</v>
      </c>
      <c r="M8" s="20">
        <f t="shared" si="5"/>
        <v>0</v>
      </c>
    </row>
    <row r="9" spans="1:13" x14ac:dyDescent="0.25">
      <c r="A9" s="32"/>
      <c r="B9" s="6"/>
      <c r="C9" s="6"/>
      <c r="D9" s="6"/>
      <c r="E9" s="6"/>
      <c r="F9" s="6"/>
      <c r="G9" s="6"/>
      <c r="H9" s="6"/>
      <c r="I9" s="20">
        <f>$C$9*D9</f>
        <v>0</v>
      </c>
      <c r="J9" s="20">
        <f t="shared" ref="J9:M9" si="6">$C$9*E9</f>
        <v>0</v>
      </c>
      <c r="K9" s="20">
        <f t="shared" si="6"/>
        <v>0</v>
      </c>
      <c r="L9" s="20">
        <f t="shared" si="6"/>
        <v>0</v>
      </c>
      <c r="M9" s="20">
        <f t="shared" si="6"/>
        <v>0</v>
      </c>
    </row>
    <row r="10" spans="1:13" x14ac:dyDescent="0.25">
      <c r="A10" s="32"/>
      <c r="B10" s="6"/>
      <c r="C10" s="6"/>
      <c r="D10" s="6"/>
      <c r="E10" s="6"/>
      <c r="F10" s="6"/>
      <c r="G10" s="6"/>
      <c r="H10" s="6"/>
      <c r="I10" s="20">
        <f>$C$10*D10</f>
        <v>0</v>
      </c>
      <c r="J10" s="20">
        <f t="shared" ref="J10:M10" si="7">$C$10*E10</f>
        <v>0</v>
      </c>
      <c r="K10" s="20">
        <f t="shared" si="7"/>
        <v>0</v>
      </c>
      <c r="L10" s="20">
        <f t="shared" si="7"/>
        <v>0</v>
      </c>
      <c r="M10" s="20">
        <f t="shared" si="7"/>
        <v>0</v>
      </c>
    </row>
    <row r="11" spans="1:13" x14ac:dyDescent="0.25">
      <c r="A11" s="32"/>
      <c r="B11" s="6"/>
      <c r="C11" s="6"/>
      <c r="D11" s="6"/>
      <c r="E11" s="6"/>
      <c r="F11" s="6"/>
      <c r="G11" s="6"/>
      <c r="H11" s="6"/>
      <c r="I11" s="20">
        <f>$C$11*D11</f>
        <v>0</v>
      </c>
      <c r="J11" s="20">
        <f t="shared" ref="J11:M11" si="8">$C$11*E11</f>
        <v>0</v>
      </c>
      <c r="K11" s="20">
        <f t="shared" si="8"/>
        <v>0</v>
      </c>
      <c r="L11" s="20">
        <f t="shared" si="8"/>
        <v>0</v>
      </c>
      <c r="M11" s="20">
        <f t="shared" si="8"/>
        <v>0</v>
      </c>
    </row>
    <row r="12" spans="1:13" x14ac:dyDescent="0.25">
      <c r="A12" s="32"/>
      <c r="B12" s="6"/>
      <c r="C12" s="6"/>
      <c r="D12" s="6"/>
      <c r="E12" s="6"/>
      <c r="F12" s="6"/>
      <c r="G12" s="6"/>
      <c r="H12" s="6"/>
      <c r="I12" s="20">
        <f>$C$12*D12</f>
        <v>0</v>
      </c>
      <c r="J12" s="20">
        <f t="shared" ref="J12:M12" si="9">$C$12*E12</f>
        <v>0</v>
      </c>
      <c r="K12" s="20">
        <f t="shared" si="9"/>
        <v>0</v>
      </c>
      <c r="L12" s="20">
        <f t="shared" si="9"/>
        <v>0</v>
      </c>
      <c r="M12" s="20">
        <f t="shared" si="9"/>
        <v>0</v>
      </c>
    </row>
    <row r="13" spans="1:13" x14ac:dyDescent="0.25">
      <c r="A13" s="32"/>
      <c r="B13" s="6"/>
      <c r="C13" s="6"/>
      <c r="D13" s="6"/>
      <c r="E13" s="6"/>
      <c r="F13" s="6"/>
      <c r="G13" s="6"/>
      <c r="H13" s="6"/>
      <c r="I13" s="20">
        <f>$C$13*D13</f>
        <v>0</v>
      </c>
      <c r="J13" s="20">
        <f t="shared" ref="J13:M13" si="10">$C$13*E13</f>
        <v>0</v>
      </c>
      <c r="K13" s="20">
        <f t="shared" si="10"/>
        <v>0</v>
      </c>
      <c r="L13" s="20">
        <f t="shared" si="10"/>
        <v>0</v>
      </c>
      <c r="M13" s="20">
        <f t="shared" si="10"/>
        <v>0</v>
      </c>
    </row>
    <row r="14" spans="1:13" x14ac:dyDescent="0.25">
      <c r="A14" s="3" t="s">
        <v>5</v>
      </c>
      <c r="B14" s="5" t="s">
        <v>19</v>
      </c>
      <c r="C14" s="5" t="s">
        <v>19</v>
      </c>
      <c r="D14" s="5">
        <f t="shared" ref="D14:H14" si="11">SUM(D4:D13)</f>
        <v>10800</v>
      </c>
      <c r="E14" s="5">
        <f t="shared" si="11"/>
        <v>11124</v>
      </c>
      <c r="F14" s="5">
        <f t="shared" si="11"/>
        <v>11457.720000000001</v>
      </c>
      <c r="G14" s="5">
        <f t="shared" si="11"/>
        <v>11801.451600000002</v>
      </c>
      <c r="H14" s="5">
        <f t="shared" si="11"/>
        <v>12155.495148000002</v>
      </c>
      <c r="I14" s="45">
        <f t="shared" ref="I14:M14" si="12">SUM(I4:I13)</f>
        <v>59400</v>
      </c>
      <c r="J14" s="5">
        <f t="shared" si="12"/>
        <v>61182</v>
      </c>
      <c r="K14" s="5">
        <f t="shared" si="12"/>
        <v>63017.460000000006</v>
      </c>
      <c r="L14" s="5">
        <f t="shared" si="12"/>
        <v>64907.983800000009</v>
      </c>
      <c r="M14" s="5">
        <f t="shared" si="12"/>
        <v>66855.223314000003</v>
      </c>
    </row>
    <row r="16" spans="1:13" x14ac:dyDescent="0.25">
      <c r="H16" s="79"/>
    </row>
    <row r="17" spans="6:6" x14ac:dyDescent="0.25">
      <c r="F17" s="79">
        <f>+D4+E4+F4+G4+H4</f>
        <v>57338.666748000003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1"/>
  <sheetViews>
    <sheetView showGridLines="0" zoomScale="80" zoomScaleNormal="80" workbookViewId="0">
      <selection activeCell="L4" sqref="L4"/>
    </sheetView>
  </sheetViews>
  <sheetFormatPr baseColWidth="10" defaultColWidth="9.140625" defaultRowHeight="15" x14ac:dyDescent="0.25"/>
  <cols>
    <col min="1" max="1" width="18.42578125" style="18" customWidth="1"/>
    <col min="2" max="3" width="9" style="18" customWidth="1"/>
    <col min="4" max="4" width="11.140625" style="37" hidden="1" customWidth="1"/>
    <col min="5" max="5" width="10.5703125" style="18" customWidth="1"/>
    <col min="6" max="6" width="13.5703125" style="18" customWidth="1"/>
    <col min="7" max="8" width="10.5703125" style="18" customWidth="1"/>
    <col min="9" max="9" width="12.85546875" style="18" customWidth="1"/>
    <col min="10" max="10" width="9.7109375" style="41" hidden="1" customWidth="1"/>
    <col min="11" max="15" width="12.7109375" style="18" customWidth="1"/>
    <col min="16" max="20" width="15.28515625" style="18" customWidth="1"/>
    <col min="21" max="16384" width="9.140625" style="18"/>
  </cols>
  <sheetData>
    <row r="1" spans="1:20" x14ac:dyDescent="0.25">
      <c r="A1" s="8" t="s">
        <v>102</v>
      </c>
    </row>
    <row r="3" spans="1:20" ht="76.5" x14ac:dyDescent="0.25">
      <c r="A3" s="19" t="s">
        <v>0</v>
      </c>
      <c r="B3" s="19" t="s">
        <v>1</v>
      </c>
      <c r="C3" s="19" t="s">
        <v>28</v>
      </c>
      <c r="D3" s="43" t="s">
        <v>123</v>
      </c>
      <c r="E3" s="19" t="s">
        <v>31</v>
      </c>
      <c r="F3" s="19" t="s">
        <v>32</v>
      </c>
      <c r="G3" s="19" t="s">
        <v>41</v>
      </c>
      <c r="H3" s="19" t="s">
        <v>29</v>
      </c>
      <c r="I3" s="19" t="s">
        <v>30</v>
      </c>
      <c r="J3" s="49" t="s">
        <v>124</v>
      </c>
      <c r="K3" s="19" t="s">
        <v>2</v>
      </c>
      <c r="L3" s="19" t="s">
        <v>3</v>
      </c>
      <c r="M3" s="19" t="s">
        <v>68</v>
      </c>
      <c r="N3" s="19" t="s">
        <v>4</v>
      </c>
      <c r="O3" s="19" t="s">
        <v>69</v>
      </c>
      <c r="P3" s="19" t="s">
        <v>33</v>
      </c>
      <c r="Q3" s="19" t="s">
        <v>34</v>
      </c>
      <c r="R3" s="19" t="s">
        <v>35</v>
      </c>
      <c r="S3" s="19" t="s">
        <v>36</v>
      </c>
      <c r="T3" s="19" t="s">
        <v>37</v>
      </c>
    </row>
    <row r="4" spans="1:20" ht="45" x14ac:dyDescent="0.25">
      <c r="A4" s="38" t="str">
        <f>IF(Presupuesto_Ventas!A4&lt;&gt;"",Presupuesto_Ventas!A4,"")</f>
        <v>Tilapia por kilogramo</v>
      </c>
      <c r="B4" s="20" t="str">
        <f>Presupuesto_Ventas!B4</f>
        <v xml:space="preserve">Kilogramo </v>
      </c>
      <c r="C4" s="97">
        <f>Presupuesto_Ventas!C4</f>
        <v>5.5</v>
      </c>
      <c r="D4" s="42">
        <f>IFERROR(C4*K4/$K$14,0)</f>
        <v>5.5</v>
      </c>
      <c r="E4" s="21">
        <v>0.8</v>
      </c>
      <c r="F4" s="21">
        <v>0.7</v>
      </c>
      <c r="G4" s="21">
        <v>0.5</v>
      </c>
      <c r="H4" s="98">
        <f>E4+F4+G4</f>
        <v>2</v>
      </c>
      <c r="I4" s="22">
        <f>IFERROR(1-(H4/C4), "")</f>
        <v>0.63636363636363635</v>
      </c>
      <c r="J4" s="48">
        <f>IFERROR(I4*K4/$K$14,0)</f>
        <v>0.63636363636363635</v>
      </c>
      <c r="K4" s="99">
        <f>Presupuesto_Ventas!D4</f>
        <v>10800</v>
      </c>
      <c r="L4" s="97">
        <f>Presupuesto_Ventas!E4</f>
        <v>11124</v>
      </c>
      <c r="M4" s="97">
        <f>Presupuesto_Ventas!F4</f>
        <v>11457.720000000001</v>
      </c>
      <c r="N4" s="97">
        <f>Presupuesto_Ventas!G4</f>
        <v>11801.451600000002</v>
      </c>
      <c r="O4" s="97">
        <f>Presupuesto_Ventas!H4</f>
        <v>12155.495148000002</v>
      </c>
      <c r="P4" s="99">
        <f>$H4*K4</f>
        <v>21600</v>
      </c>
      <c r="Q4" s="20">
        <f>$H4*L4</f>
        <v>22248</v>
      </c>
      <c r="R4" s="20">
        <f>$H4*M4</f>
        <v>22915.440000000002</v>
      </c>
      <c r="S4" s="20">
        <f>$H4*N4</f>
        <v>23602.903200000004</v>
      </c>
      <c r="T4" s="20">
        <f>$H4*O4</f>
        <v>24310.990296000004</v>
      </c>
    </row>
    <row r="5" spans="1:20" x14ac:dyDescent="0.25">
      <c r="A5" s="38" t="str">
        <f>IF(Presupuesto_Ventas!A5&lt;&gt;"",Presupuesto_Ventas!A5,"")</f>
        <v/>
      </c>
      <c r="B5" s="20">
        <f>Presupuesto_Ventas!B5</f>
        <v>0</v>
      </c>
      <c r="C5" s="20">
        <f>Presupuesto_Ventas!C5</f>
        <v>0</v>
      </c>
      <c r="D5" s="47">
        <f t="shared" ref="D5:D13" si="0">IFERROR(C5*K5/$K$14,0)</f>
        <v>0</v>
      </c>
      <c r="E5" s="6"/>
      <c r="F5" s="6"/>
      <c r="G5" s="21"/>
      <c r="H5" s="20">
        <f t="shared" ref="H5:H13" si="1">E5+F5+G5</f>
        <v>0</v>
      </c>
      <c r="I5" s="22" t="str">
        <f t="shared" ref="I5:I13" si="2">IFERROR(1-(H5/C5), "")</f>
        <v/>
      </c>
      <c r="J5" s="48">
        <f t="shared" ref="J5:J13" si="3">IFERROR(I5*K5/$K$14,0)</f>
        <v>0</v>
      </c>
      <c r="K5" s="20">
        <f>Presupuesto_Ventas!D5</f>
        <v>0</v>
      </c>
      <c r="L5" s="20">
        <f>Presupuesto_Ventas!E5</f>
        <v>0</v>
      </c>
      <c r="M5" s="20">
        <f>Presupuesto_Ventas!F5</f>
        <v>0</v>
      </c>
      <c r="N5" s="20">
        <f>Presupuesto_Ventas!G5</f>
        <v>0</v>
      </c>
      <c r="O5" s="20">
        <f>Presupuesto_Ventas!H5</f>
        <v>0</v>
      </c>
      <c r="P5" s="20">
        <f t="shared" ref="P5:P13" si="4">$H5*K5</f>
        <v>0</v>
      </c>
      <c r="Q5" s="20">
        <f t="shared" ref="Q5:Q13" si="5">$H5*L5</f>
        <v>0</v>
      </c>
      <c r="R5" s="20">
        <f t="shared" ref="R5:R13" si="6">$H5*M5</f>
        <v>0</v>
      </c>
      <c r="S5" s="20">
        <f t="shared" ref="S5:S13" si="7">$H5*N5</f>
        <v>0</v>
      </c>
      <c r="T5" s="20">
        <f t="shared" ref="T5:T13" si="8">$H5*O5</f>
        <v>0</v>
      </c>
    </row>
    <row r="6" spans="1:20" x14ac:dyDescent="0.25">
      <c r="A6" s="38" t="str">
        <f>IF(Presupuesto_Ventas!A6&lt;&gt;"",Presupuesto_Ventas!A6,"")</f>
        <v/>
      </c>
      <c r="B6" s="20">
        <f>Presupuesto_Ventas!B6</f>
        <v>0</v>
      </c>
      <c r="C6" s="20">
        <f>Presupuesto_Ventas!C6</f>
        <v>0</v>
      </c>
      <c r="D6" s="47">
        <f t="shared" si="0"/>
        <v>0</v>
      </c>
      <c r="E6" s="6"/>
      <c r="F6" s="6"/>
      <c r="G6" s="21"/>
      <c r="H6" s="20">
        <f t="shared" si="1"/>
        <v>0</v>
      </c>
      <c r="I6" s="22" t="str">
        <f t="shared" si="2"/>
        <v/>
      </c>
      <c r="J6" s="48">
        <f t="shared" si="3"/>
        <v>0</v>
      </c>
      <c r="K6" s="20">
        <f>Presupuesto_Ventas!D6</f>
        <v>0</v>
      </c>
      <c r="L6" s="20">
        <f>Presupuesto_Ventas!E6</f>
        <v>0</v>
      </c>
      <c r="M6" s="20">
        <f>Presupuesto_Ventas!F6</f>
        <v>0</v>
      </c>
      <c r="N6" s="20">
        <f>Presupuesto_Ventas!G6</f>
        <v>0</v>
      </c>
      <c r="O6" s="20">
        <f>Presupuesto_Ventas!H6</f>
        <v>0</v>
      </c>
      <c r="P6" s="20">
        <f t="shared" si="4"/>
        <v>0</v>
      </c>
      <c r="Q6" s="20">
        <f t="shared" si="5"/>
        <v>0</v>
      </c>
      <c r="R6" s="20">
        <f t="shared" si="6"/>
        <v>0</v>
      </c>
      <c r="S6" s="20">
        <f t="shared" si="7"/>
        <v>0</v>
      </c>
      <c r="T6" s="20">
        <f t="shared" si="8"/>
        <v>0</v>
      </c>
    </row>
    <row r="7" spans="1:20" x14ac:dyDescent="0.25">
      <c r="A7" s="38" t="str">
        <f>IF(Presupuesto_Ventas!A7&lt;&gt;"",Presupuesto_Ventas!A7,"")</f>
        <v/>
      </c>
      <c r="B7" s="20">
        <f>Presupuesto_Ventas!B7</f>
        <v>0</v>
      </c>
      <c r="C7" s="20">
        <f>Presupuesto_Ventas!C7</f>
        <v>0</v>
      </c>
      <c r="D7" s="47">
        <f t="shared" si="0"/>
        <v>0</v>
      </c>
      <c r="E7" s="6"/>
      <c r="F7" s="6"/>
      <c r="G7" s="6"/>
      <c r="H7" s="20">
        <f t="shared" si="1"/>
        <v>0</v>
      </c>
      <c r="I7" s="22" t="str">
        <f t="shared" si="2"/>
        <v/>
      </c>
      <c r="J7" s="48">
        <f t="shared" si="3"/>
        <v>0</v>
      </c>
      <c r="K7" s="20">
        <f>Presupuesto_Ventas!D7</f>
        <v>0</v>
      </c>
      <c r="L7" s="20">
        <f>Presupuesto_Ventas!E7</f>
        <v>0</v>
      </c>
      <c r="M7" s="20">
        <f>Presupuesto_Ventas!F7</f>
        <v>0</v>
      </c>
      <c r="N7" s="20">
        <f>Presupuesto_Ventas!G7</f>
        <v>0</v>
      </c>
      <c r="O7" s="20">
        <f>Presupuesto_Ventas!H7</f>
        <v>0</v>
      </c>
      <c r="P7" s="20">
        <f t="shared" si="4"/>
        <v>0</v>
      </c>
      <c r="Q7" s="20">
        <f t="shared" si="5"/>
        <v>0</v>
      </c>
      <c r="R7" s="20">
        <f t="shared" si="6"/>
        <v>0</v>
      </c>
      <c r="S7" s="20">
        <f t="shared" si="7"/>
        <v>0</v>
      </c>
      <c r="T7" s="20">
        <f t="shared" si="8"/>
        <v>0</v>
      </c>
    </row>
    <row r="8" spans="1:20" x14ac:dyDescent="0.25">
      <c r="A8" s="38" t="str">
        <f>IF(Presupuesto_Ventas!A8&lt;&gt;"",Presupuesto_Ventas!A8,"")</f>
        <v/>
      </c>
      <c r="B8" s="20">
        <f>Presupuesto_Ventas!B8</f>
        <v>0</v>
      </c>
      <c r="C8" s="20">
        <f>Presupuesto_Ventas!C8</f>
        <v>0</v>
      </c>
      <c r="D8" s="47">
        <f t="shared" si="0"/>
        <v>0</v>
      </c>
      <c r="E8" s="6"/>
      <c r="F8" s="6"/>
      <c r="G8" s="6"/>
      <c r="H8" s="20">
        <f t="shared" si="1"/>
        <v>0</v>
      </c>
      <c r="I8" s="22" t="str">
        <f t="shared" si="2"/>
        <v/>
      </c>
      <c r="J8" s="48">
        <f t="shared" si="3"/>
        <v>0</v>
      </c>
      <c r="K8" s="20">
        <f>Presupuesto_Ventas!D8</f>
        <v>0</v>
      </c>
      <c r="L8" s="20">
        <f>Presupuesto_Ventas!E8</f>
        <v>0</v>
      </c>
      <c r="M8" s="20">
        <f>Presupuesto_Ventas!F8</f>
        <v>0</v>
      </c>
      <c r="N8" s="20">
        <f>Presupuesto_Ventas!G8</f>
        <v>0</v>
      </c>
      <c r="O8" s="20">
        <f>Presupuesto_Ventas!H8</f>
        <v>0</v>
      </c>
      <c r="P8" s="20">
        <f t="shared" si="4"/>
        <v>0</v>
      </c>
      <c r="Q8" s="20">
        <f t="shared" si="5"/>
        <v>0</v>
      </c>
      <c r="R8" s="20">
        <f t="shared" si="6"/>
        <v>0</v>
      </c>
      <c r="S8" s="20">
        <f t="shared" si="7"/>
        <v>0</v>
      </c>
      <c r="T8" s="20">
        <f t="shared" si="8"/>
        <v>0</v>
      </c>
    </row>
    <row r="9" spans="1:20" x14ac:dyDescent="0.25">
      <c r="A9" s="38" t="str">
        <f>IF(Presupuesto_Ventas!A9&lt;&gt;"",Presupuesto_Ventas!A9,"")</f>
        <v/>
      </c>
      <c r="B9" s="20">
        <f>Presupuesto_Ventas!B9</f>
        <v>0</v>
      </c>
      <c r="C9" s="20">
        <f>Presupuesto_Ventas!C9</f>
        <v>0</v>
      </c>
      <c r="D9" s="47">
        <f t="shared" si="0"/>
        <v>0</v>
      </c>
      <c r="E9" s="6"/>
      <c r="F9" s="6"/>
      <c r="G9" s="6"/>
      <c r="H9" s="20">
        <f t="shared" si="1"/>
        <v>0</v>
      </c>
      <c r="I9" s="22" t="str">
        <f t="shared" si="2"/>
        <v/>
      </c>
      <c r="J9" s="48">
        <f t="shared" si="3"/>
        <v>0</v>
      </c>
      <c r="K9" s="20">
        <f>Presupuesto_Ventas!D9</f>
        <v>0</v>
      </c>
      <c r="L9" s="20">
        <f>Presupuesto_Ventas!E9</f>
        <v>0</v>
      </c>
      <c r="M9" s="20">
        <f>Presupuesto_Ventas!F9</f>
        <v>0</v>
      </c>
      <c r="N9" s="20">
        <f>Presupuesto_Ventas!G9</f>
        <v>0</v>
      </c>
      <c r="O9" s="20">
        <f>Presupuesto_Ventas!H9</f>
        <v>0</v>
      </c>
      <c r="P9" s="20">
        <f t="shared" si="4"/>
        <v>0</v>
      </c>
      <c r="Q9" s="20">
        <f t="shared" si="5"/>
        <v>0</v>
      </c>
      <c r="R9" s="20">
        <f t="shared" si="6"/>
        <v>0</v>
      </c>
      <c r="S9" s="20">
        <f t="shared" si="7"/>
        <v>0</v>
      </c>
      <c r="T9" s="20">
        <f t="shared" si="8"/>
        <v>0</v>
      </c>
    </row>
    <row r="10" spans="1:20" x14ac:dyDescent="0.25">
      <c r="A10" s="38" t="str">
        <f>IF(Presupuesto_Ventas!A10&lt;&gt;"",Presupuesto_Ventas!A10,"")</f>
        <v/>
      </c>
      <c r="B10" s="20">
        <f>Presupuesto_Ventas!B10</f>
        <v>0</v>
      </c>
      <c r="C10" s="20">
        <f>Presupuesto_Ventas!C10</f>
        <v>0</v>
      </c>
      <c r="D10" s="47">
        <f t="shared" si="0"/>
        <v>0</v>
      </c>
      <c r="E10" s="6"/>
      <c r="F10" s="6"/>
      <c r="G10" s="6"/>
      <c r="H10" s="20">
        <f t="shared" si="1"/>
        <v>0</v>
      </c>
      <c r="I10" s="22" t="str">
        <f t="shared" si="2"/>
        <v/>
      </c>
      <c r="J10" s="48">
        <f t="shared" si="3"/>
        <v>0</v>
      </c>
      <c r="K10" s="20">
        <f>Presupuesto_Ventas!D10</f>
        <v>0</v>
      </c>
      <c r="L10" s="20">
        <f>Presupuesto_Ventas!E10</f>
        <v>0</v>
      </c>
      <c r="M10" s="20">
        <f>Presupuesto_Ventas!F10</f>
        <v>0</v>
      </c>
      <c r="N10" s="20">
        <f>Presupuesto_Ventas!G10</f>
        <v>0</v>
      </c>
      <c r="O10" s="20">
        <f>Presupuesto_Ventas!H10</f>
        <v>0</v>
      </c>
      <c r="P10" s="20">
        <f t="shared" si="4"/>
        <v>0</v>
      </c>
      <c r="Q10" s="20">
        <f t="shared" si="5"/>
        <v>0</v>
      </c>
      <c r="R10" s="20">
        <f t="shared" si="6"/>
        <v>0</v>
      </c>
      <c r="S10" s="20">
        <f t="shared" si="7"/>
        <v>0</v>
      </c>
      <c r="T10" s="20">
        <f t="shared" si="8"/>
        <v>0</v>
      </c>
    </row>
    <row r="11" spans="1:20" x14ac:dyDescent="0.25">
      <c r="A11" s="38" t="str">
        <f>IF(Presupuesto_Ventas!A11&lt;&gt;"",Presupuesto_Ventas!A11,"")</f>
        <v/>
      </c>
      <c r="B11" s="20">
        <f>Presupuesto_Ventas!B11</f>
        <v>0</v>
      </c>
      <c r="C11" s="20">
        <f>Presupuesto_Ventas!C11</f>
        <v>0</v>
      </c>
      <c r="D11" s="47">
        <f t="shared" si="0"/>
        <v>0</v>
      </c>
      <c r="E11" s="6"/>
      <c r="F11" s="6"/>
      <c r="G11" s="6"/>
      <c r="H11" s="20">
        <f t="shared" si="1"/>
        <v>0</v>
      </c>
      <c r="I11" s="22" t="str">
        <f t="shared" si="2"/>
        <v/>
      </c>
      <c r="J11" s="48">
        <f t="shared" si="3"/>
        <v>0</v>
      </c>
      <c r="K11" s="20">
        <f>Presupuesto_Ventas!D11</f>
        <v>0</v>
      </c>
      <c r="L11" s="20">
        <f>Presupuesto_Ventas!E11</f>
        <v>0</v>
      </c>
      <c r="M11" s="20">
        <f>Presupuesto_Ventas!F11</f>
        <v>0</v>
      </c>
      <c r="N11" s="20">
        <f>Presupuesto_Ventas!G11</f>
        <v>0</v>
      </c>
      <c r="O11" s="20">
        <f>Presupuesto_Ventas!H11</f>
        <v>0</v>
      </c>
      <c r="P11" s="20">
        <f t="shared" si="4"/>
        <v>0</v>
      </c>
      <c r="Q11" s="20">
        <f t="shared" si="5"/>
        <v>0</v>
      </c>
      <c r="R11" s="20">
        <f t="shared" si="6"/>
        <v>0</v>
      </c>
      <c r="S11" s="20">
        <f t="shared" si="7"/>
        <v>0</v>
      </c>
      <c r="T11" s="20">
        <f t="shared" si="8"/>
        <v>0</v>
      </c>
    </row>
    <row r="12" spans="1:20" x14ac:dyDescent="0.25">
      <c r="A12" s="38" t="str">
        <f>IF(Presupuesto_Ventas!A12&lt;&gt;"",Presupuesto_Ventas!A12,"")</f>
        <v/>
      </c>
      <c r="B12" s="20">
        <f>Presupuesto_Ventas!B12</f>
        <v>0</v>
      </c>
      <c r="C12" s="20">
        <f>Presupuesto_Ventas!C12</f>
        <v>0</v>
      </c>
      <c r="D12" s="47">
        <f t="shared" si="0"/>
        <v>0</v>
      </c>
      <c r="E12" s="6"/>
      <c r="F12" s="6"/>
      <c r="G12" s="6"/>
      <c r="H12" s="20">
        <f t="shared" si="1"/>
        <v>0</v>
      </c>
      <c r="I12" s="22" t="str">
        <f t="shared" si="2"/>
        <v/>
      </c>
      <c r="J12" s="48">
        <f t="shared" si="3"/>
        <v>0</v>
      </c>
      <c r="K12" s="20">
        <f>Presupuesto_Ventas!D12</f>
        <v>0</v>
      </c>
      <c r="L12" s="20">
        <f>Presupuesto_Ventas!E12</f>
        <v>0</v>
      </c>
      <c r="M12" s="20">
        <f>Presupuesto_Ventas!F12</f>
        <v>0</v>
      </c>
      <c r="N12" s="20">
        <f>Presupuesto_Ventas!G12</f>
        <v>0</v>
      </c>
      <c r="O12" s="20">
        <f>Presupuesto_Ventas!H12</f>
        <v>0</v>
      </c>
      <c r="P12" s="20">
        <f t="shared" si="4"/>
        <v>0</v>
      </c>
      <c r="Q12" s="20">
        <f t="shared" si="5"/>
        <v>0</v>
      </c>
      <c r="R12" s="20">
        <f t="shared" si="6"/>
        <v>0</v>
      </c>
      <c r="S12" s="20">
        <f t="shared" si="7"/>
        <v>0</v>
      </c>
      <c r="T12" s="20">
        <f t="shared" si="8"/>
        <v>0</v>
      </c>
    </row>
    <row r="13" spans="1:20" x14ac:dyDescent="0.25">
      <c r="A13" s="38" t="str">
        <f>IF(Presupuesto_Ventas!A13&lt;&gt;"",Presupuesto_Ventas!A13,"")</f>
        <v/>
      </c>
      <c r="B13" s="20">
        <f>Presupuesto_Ventas!B13</f>
        <v>0</v>
      </c>
      <c r="C13" s="20">
        <f>Presupuesto_Ventas!C13</f>
        <v>0</v>
      </c>
      <c r="D13" s="47">
        <f t="shared" si="0"/>
        <v>0</v>
      </c>
      <c r="E13" s="6"/>
      <c r="F13" s="6"/>
      <c r="G13" s="6"/>
      <c r="H13" s="20">
        <f t="shared" si="1"/>
        <v>0</v>
      </c>
      <c r="I13" s="22" t="str">
        <f t="shared" si="2"/>
        <v/>
      </c>
      <c r="J13" s="48">
        <f t="shared" si="3"/>
        <v>0</v>
      </c>
      <c r="K13" s="20">
        <f>Presupuesto_Ventas!D13</f>
        <v>0</v>
      </c>
      <c r="L13" s="20">
        <f>Presupuesto_Ventas!E13</f>
        <v>0</v>
      </c>
      <c r="M13" s="20">
        <f>Presupuesto_Ventas!F13</f>
        <v>0</v>
      </c>
      <c r="N13" s="20">
        <f>Presupuesto_Ventas!G13</f>
        <v>0</v>
      </c>
      <c r="O13" s="20">
        <f>Presupuesto_Ventas!H13</f>
        <v>0</v>
      </c>
      <c r="P13" s="20">
        <f t="shared" si="4"/>
        <v>0</v>
      </c>
      <c r="Q13" s="20">
        <f t="shared" si="5"/>
        <v>0</v>
      </c>
      <c r="R13" s="20">
        <f t="shared" si="6"/>
        <v>0</v>
      </c>
      <c r="S13" s="20">
        <f t="shared" si="7"/>
        <v>0</v>
      </c>
      <c r="T13" s="20">
        <f t="shared" si="8"/>
        <v>0</v>
      </c>
    </row>
    <row r="14" spans="1:20" x14ac:dyDescent="0.25">
      <c r="A14" s="3" t="s">
        <v>5</v>
      </c>
      <c r="B14" s="5" t="s">
        <v>19</v>
      </c>
      <c r="C14" s="5" t="s">
        <v>19</v>
      </c>
      <c r="D14" s="40">
        <f>SUM(D4:D13)</f>
        <v>5.5</v>
      </c>
      <c r="E14" s="5" t="s">
        <v>19</v>
      </c>
      <c r="F14" s="5" t="s">
        <v>19</v>
      </c>
      <c r="G14" s="5"/>
      <c r="H14" s="5" t="s">
        <v>19</v>
      </c>
      <c r="I14" s="5" t="s">
        <v>19</v>
      </c>
      <c r="J14" s="50">
        <f>SUM(J4:J13)</f>
        <v>0.63636363636363635</v>
      </c>
      <c r="K14" s="5">
        <f t="shared" ref="K14:T14" si="9">SUM(K4:K13)</f>
        <v>10800</v>
      </c>
      <c r="L14" s="5">
        <f t="shared" si="9"/>
        <v>11124</v>
      </c>
      <c r="M14" s="5">
        <f t="shared" si="9"/>
        <v>11457.720000000001</v>
      </c>
      <c r="N14" s="5">
        <f t="shared" si="9"/>
        <v>11801.451600000002</v>
      </c>
      <c r="O14" s="5">
        <f t="shared" si="9"/>
        <v>12155.495148000002</v>
      </c>
      <c r="P14" s="5">
        <f t="shared" si="9"/>
        <v>21600</v>
      </c>
      <c r="Q14" s="5">
        <f t="shared" si="9"/>
        <v>22248</v>
      </c>
      <c r="R14" s="5">
        <f t="shared" si="9"/>
        <v>22915.440000000002</v>
      </c>
      <c r="S14" s="5">
        <f t="shared" si="9"/>
        <v>23602.903200000004</v>
      </c>
      <c r="T14" s="5">
        <f t="shared" si="9"/>
        <v>24310.990296000004</v>
      </c>
    </row>
    <row r="16" spans="1:20" x14ac:dyDescent="0.25">
      <c r="F16" s="79">
        <f>+Presupuesto_Ventas!F17</f>
        <v>57338.666748000003</v>
      </c>
    </row>
    <row r="17" spans="5:16" x14ac:dyDescent="0.25">
      <c r="P17" s="82">
        <f>P4/12</f>
        <v>1800</v>
      </c>
    </row>
    <row r="18" spans="5:16" x14ac:dyDescent="0.25">
      <c r="E18" s="18" t="s">
        <v>165</v>
      </c>
    </row>
    <row r="19" spans="5:16" x14ac:dyDescent="0.25">
      <c r="E19" s="18" t="s">
        <v>166</v>
      </c>
      <c r="H19" s="79">
        <f>+C4-E4-F4</f>
        <v>4</v>
      </c>
    </row>
    <row r="20" spans="5:16" x14ac:dyDescent="0.25">
      <c r="E20" s="18" t="s">
        <v>167</v>
      </c>
    </row>
    <row r="21" spans="5:16" x14ac:dyDescent="0.25">
      <c r="E21" s="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showGridLines="0" topLeftCell="A4" workbookViewId="0">
      <selection activeCell="D24" sqref="D24"/>
    </sheetView>
  </sheetViews>
  <sheetFormatPr baseColWidth="10" defaultColWidth="9.140625" defaultRowHeight="15" x14ac:dyDescent="0.25"/>
  <cols>
    <col min="1" max="1" width="3.28515625" customWidth="1"/>
    <col min="2" max="2" width="35" customWidth="1"/>
    <col min="3" max="3" width="15.85546875" customWidth="1"/>
    <col min="4" max="8" width="12.7109375" customWidth="1"/>
    <col min="10" max="10" width="20.7109375" bestFit="1" customWidth="1"/>
  </cols>
  <sheetData>
    <row r="1" spans="1:11" x14ac:dyDescent="0.25">
      <c r="A1" s="8" t="s">
        <v>101</v>
      </c>
    </row>
    <row r="2" spans="1:11" x14ac:dyDescent="0.25">
      <c r="A2" s="8"/>
    </row>
    <row r="3" spans="1:11" x14ac:dyDescent="0.25">
      <c r="A3" s="83" t="s">
        <v>14</v>
      </c>
      <c r="B3" s="83"/>
      <c r="C3" s="10" t="s">
        <v>42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</row>
    <row r="4" spans="1:11" x14ac:dyDescent="0.25">
      <c r="A4" s="3" t="s">
        <v>38</v>
      </c>
      <c r="B4" s="3"/>
      <c r="C4" s="5">
        <f>SUM(C5:C16)</f>
        <v>1962.26</v>
      </c>
      <c r="D4" s="5">
        <f>SUM(D5:D16)</f>
        <v>23547.119999999999</v>
      </c>
      <c r="E4" s="5">
        <f t="shared" ref="E4:H4" si="0">SUM(E5:E16)</f>
        <v>23547.119999999999</v>
      </c>
      <c r="F4" s="5">
        <f t="shared" si="0"/>
        <v>23547.119999999999</v>
      </c>
      <c r="G4" s="5">
        <f t="shared" si="0"/>
        <v>23547.119999999999</v>
      </c>
      <c r="H4" s="5">
        <f t="shared" si="0"/>
        <v>23547.119999999999</v>
      </c>
    </row>
    <row r="5" spans="1:11" x14ac:dyDescent="0.25">
      <c r="A5" s="2"/>
      <c r="B5" s="2" t="s">
        <v>43</v>
      </c>
      <c r="C5" s="6">
        <v>1633</v>
      </c>
      <c r="D5" s="7">
        <f>C5*12</f>
        <v>19596</v>
      </c>
      <c r="E5" s="7">
        <f>C5*12</f>
        <v>19596</v>
      </c>
      <c r="F5" s="7">
        <f>C5*12</f>
        <v>19596</v>
      </c>
      <c r="G5" s="7">
        <f>C5*12</f>
        <v>19596</v>
      </c>
      <c r="H5" s="7">
        <f>C5*12</f>
        <v>19596</v>
      </c>
    </row>
    <row r="6" spans="1:11" x14ac:dyDescent="0.25">
      <c r="A6" s="2"/>
      <c r="B6" s="2" t="s">
        <v>44</v>
      </c>
      <c r="C6" s="6">
        <v>99.26</v>
      </c>
      <c r="D6" s="7">
        <f t="shared" ref="D6:D16" si="1">C6*12</f>
        <v>1191.1200000000001</v>
      </c>
      <c r="E6" s="7">
        <f t="shared" ref="E6:E16" si="2">C6*12</f>
        <v>1191.1200000000001</v>
      </c>
      <c r="F6" s="7">
        <f t="shared" ref="F6:F16" si="3">C6*12</f>
        <v>1191.1200000000001</v>
      </c>
      <c r="G6" s="7">
        <f t="shared" ref="G6:G16" si="4">C6*12</f>
        <v>1191.1200000000001</v>
      </c>
      <c r="H6" s="7">
        <f t="shared" ref="H6:H16" si="5">C6*12</f>
        <v>1191.1200000000001</v>
      </c>
      <c r="J6" s="2" t="s">
        <v>163</v>
      </c>
      <c r="K6" s="2">
        <v>733</v>
      </c>
    </row>
    <row r="7" spans="1:11" x14ac:dyDescent="0.25">
      <c r="A7" s="2"/>
      <c r="B7" s="2" t="s">
        <v>48</v>
      </c>
      <c r="C7" s="6"/>
      <c r="D7" s="7">
        <f t="shared" si="1"/>
        <v>0</v>
      </c>
      <c r="E7" s="7">
        <f t="shared" si="2"/>
        <v>0</v>
      </c>
      <c r="F7" s="7">
        <f t="shared" si="3"/>
        <v>0</v>
      </c>
      <c r="G7" s="7">
        <f t="shared" si="4"/>
        <v>0</v>
      </c>
      <c r="H7" s="7">
        <f t="shared" si="5"/>
        <v>0</v>
      </c>
      <c r="J7" s="2" t="s">
        <v>162</v>
      </c>
      <c r="K7" s="2"/>
    </row>
    <row r="8" spans="1:11" x14ac:dyDescent="0.25">
      <c r="A8" s="2"/>
      <c r="B8" s="2" t="s">
        <v>52</v>
      </c>
      <c r="C8" s="6">
        <v>80</v>
      </c>
      <c r="D8" s="7">
        <f t="shared" si="1"/>
        <v>960</v>
      </c>
      <c r="E8" s="7">
        <f t="shared" si="2"/>
        <v>960</v>
      </c>
      <c r="F8" s="7">
        <f t="shared" si="3"/>
        <v>960</v>
      </c>
      <c r="G8" s="7">
        <f t="shared" si="4"/>
        <v>960</v>
      </c>
      <c r="H8" s="7">
        <f t="shared" si="5"/>
        <v>960</v>
      </c>
      <c r="J8" s="2" t="s">
        <v>164</v>
      </c>
      <c r="K8" s="2">
        <v>900</v>
      </c>
    </row>
    <row r="9" spans="1:11" x14ac:dyDescent="0.25">
      <c r="A9" s="2"/>
      <c r="B9" s="2" t="s">
        <v>46</v>
      </c>
      <c r="C9" s="6">
        <v>20</v>
      </c>
      <c r="D9" s="7">
        <f t="shared" si="1"/>
        <v>240</v>
      </c>
      <c r="E9" s="7">
        <f t="shared" si="2"/>
        <v>240</v>
      </c>
      <c r="F9" s="7">
        <f t="shared" si="3"/>
        <v>240</v>
      </c>
      <c r="G9" s="7">
        <f t="shared" si="4"/>
        <v>240</v>
      </c>
      <c r="H9" s="7">
        <f t="shared" si="5"/>
        <v>240</v>
      </c>
      <c r="J9" s="2"/>
      <c r="K9" s="2">
        <f>SUM(K6:K8)</f>
        <v>1633</v>
      </c>
    </row>
    <row r="10" spans="1:11" x14ac:dyDescent="0.25">
      <c r="A10" s="2"/>
      <c r="B10" s="2" t="s">
        <v>47</v>
      </c>
      <c r="C10" s="6">
        <v>100</v>
      </c>
      <c r="D10" s="7">
        <f t="shared" si="1"/>
        <v>1200</v>
      </c>
      <c r="E10" s="7">
        <f t="shared" si="2"/>
        <v>1200</v>
      </c>
      <c r="F10" s="7">
        <f t="shared" si="3"/>
        <v>1200</v>
      </c>
      <c r="G10" s="7">
        <f t="shared" si="4"/>
        <v>1200</v>
      </c>
      <c r="H10" s="7">
        <f t="shared" si="5"/>
        <v>1200</v>
      </c>
    </row>
    <row r="11" spans="1:11" x14ac:dyDescent="0.25">
      <c r="A11" s="2"/>
      <c r="B11" s="2" t="s">
        <v>49</v>
      </c>
      <c r="C11" s="6"/>
      <c r="D11" s="7">
        <f t="shared" si="1"/>
        <v>0</v>
      </c>
      <c r="E11" s="7">
        <f t="shared" si="2"/>
        <v>0</v>
      </c>
      <c r="F11" s="7">
        <f t="shared" si="3"/>
        <v>0</v>
      </c>
      <c r="G11" s="7">
        <f t="shared" si="4"/>
        <v>0</v>
      </c>
      <c r="H11" s="7">
        <f t="shared" si="5"/>
        <v>0</v>
      </c>
    </row>
    <row r="12" spans="1:11" x14ac:dyDescent="0.25">
      <c r="A12" s="2"/>
      <c r="B12" s="2" t="s">
        <v>50</v>
      </c>
      <c r="C12" s="6">
        <v>30</v>
      </c>
      <c r="D12" s="7">
        <f t="shared" si="1"/>
        <v>360</v>
      </c>
      <c r="E12" s="7">
        <f t="shared" si="2"/>
        <v>360</v>
      </c>
      <c r="F12" s="7">
        <f t="shared" si="3"/>
        <v>360</v>
      </c>
      <c r="G12" s="7">
        <f t="shared" si="4"/>
        <v>360</v>
      </c>
      <c r="H12" s="7">
        <f t="shared" si="5"/>
        <v>360</v>
      </c>
    </row>
    <row r="13" spans="1:11" x14ac:dyDescent="0.25">
      <c r="A13" s="2"/>
      <c r="B13" s="2" t="s">
        <v>51</v>
      </c>
      <c r="C13" s="6"/>
      <c r="D13" s="7">
        <f t="shared" si="1"/>
        <v>0</v>
      </c>
      <c r="E13" s="7">
        <f t="shared" si="2"/>
        <v>0</v>
      </c>
      <c r="F13" s="7">
        <f t="shared" si="3"/>
        <v>0</v>
      </c>
      <c r="G13" s="7">
        <f t="shared" si="4"/>
        <v>0</v>
      </c>
      <c r="H13" s="7">
        <f t="shared" si="5"/>
        <v>0</v>
      </c>
    </row>
    <row r="14" spans="1:11" x14ac:dyDescent="0.25">
      <c r="A14" s="2"/>
      <c r="B14" s="2" t="s">
        <v>20</v>
      </c>
      <c r="C14" s="6"/>
      <c r="D14" s="7">
        <f t="shared" si="1"/>
        <v>0</v>
      </c>
      <c r="E14" s="7">
        <f t="shared" si="2"/>
        <v>0</v>
      </c>
      <c r="F14" s="7">
        <f t="shared" si="3"/>
        <v>0</v>
      </c>
      <c r="G14" s="7">
        <f t="shared" si="4"/>
        <v>0</v>
      </c>
      <c r="H14" s="7">
        <f t="shared" si="5"/>
        <v>0</v>
      </c>
    </row>
    <row r="15" spans="1:11" x14ac:dyDescent="0.25">
      <c r="A15" s="2"/>
      <c r="B15" s="2" t="s">
        <v>20</v>
      </c>
      <c r="C15" s="6"/>
      <c r="D15" s="7">
        <f t="shared" si="1"/>
        <v>0</v>
      </c>
      <c r="E15" s="7">
        <f t="shared" si="2"/>
        <v>0</v>
      </c>
      <c r="F15" s="7">
        <f t="shared" si="3"/>
        <v>0</v>
      </c>
      <c r="G15" s="7">
        <f t="shared" si="4"/>
        <v>0</v>
      </c>
      <c r="H15" s="7">
        <f t="shared" si="5"/>
        <v>0</v>
      </c>
    </row>
    <row r="16" spans="1:11" x14ac:dyDescent="0.25">
      <c r="A16" s="2"/>
      <c r="B16" s="2" t="s">
        <v>20</v>
      </c>
      <c r="C16" s="6"/>
      <c r="D16" s="7">
        <f t="shared" si="1"/>
        <v>0</v>
      </c>
      <c r="E16" s="7">
        <f t="shared" si="2"/>
        <v>0</v>
      </c>
      <c r="F16" s="7">
        <f t="shared" si="3"/>
        <v>0</v>
      </c>
      <c r="G16" s="7">
        <f t="shared" si="4"/>
        <v>0</v>
      </c>
      <c r="H16" s="7">
        <f t="shared" si="5"/>
        <v>0</v>
      </c>
    </row>
    <row r="17" spans="1:13" x14ac:dyDescent="0.25">
      <c r="A17" s="3" t="s">
        <v>39</v>
      </c>
      <c r="B17" s="3"/>
      <c r="C17" s="5">
        <f t="shared" ref="C17:H17" si="6">SUM(C18:C20)</f>
        <v>154.66000000000003</v>
      </c>
      <c r="D17" s="5">
        <f t="shared" si="6"/>
        <v>1856</v>
      </c>
      <c r="E17" s="5">
        <f t="shared" si="6"/>
        <v>1856</v>
      </c>
      <c r="F17" s="5">
        <f t="shared" si="6"/>
        <v>1856</v>
      </c>
      <c r="G17" s="5">
        <f t="shared" si="6"/>
        <v>1856</v>
      </c>
      <c r="H17" s="5">
        <f t="shared" si="6"/>
        <v>1856</v>
      </c>
    </row>
    <row r="18" spans="1:13" x14ac:dyDescent="0.25">
      <c r="A18" s="2"/>
      <c r="B18" s="2" t="s">
        <v>53</v>
      </c>
      <c r="C18" s="6">
        <v>133.33000000000001</v>
      </c>
      <c r="D18" s="6">
        <v>1600</v>
      </c>
      <c r="E18" s="6">
        <v>1600</v>
      </c>
      <c r="F18" s="6">
        <v>1600</v>
      </c>
      <c r="G18" s="6">
        <v>1600</v>
      </c>
      <c r="H18" s="6">
        <v>1600</v>
      </c>
      <c r="K18">
        <v>8000</v>
      </c>
      <c r="L18">
        <f>+K18/5</f>
        <v>1600</v>
      </c>
      <c r="M18">
        <f>+L18/12</f>
        <v>133.33333333333334</v>
      </c>
    </row>
    <row r="19" spans="1:13" x14ac:dyDescent="0.25">
      <c r="A19" s="2"/>
      <c r="B19" s="2" t="s">
        <v>54</v>
      </c>
      <c r="C19" s="6">
        <v>21.33</v>
      </c>
      <c r="D19" s="6">
        <v>256</v>
      </c>
      <c r="E19" s="6">
        <v>256</v>
      </c>
      <c r="F19" s="6">
        <v>256</v>
      </c>
      <c r="G19" s="6">
        <v>256</v>
      </c>
      <c r="H19" s="6">
        <v>256</v>
      </c>
      <c r="K19">
        <f>+K18*16%</f>
        <v>1280</v>
      </c>
      <c r="L19" s="44">
        <f>+K19/5</f>
        <v>256</v>
      </c>
      <c r="M19" s="44">
        <f>+L19/12</f>
        <v>21.333333333333332</v>
      </c>
    </row>
    <row r="20" spans="1:13" x14ac:dyDescent="0.25">
      <c r="A20" s="2"/>
      <c r="B20" s="2" t="s">
        <v>55</v>
      </c>
      <c r="C20" s="6"/>
      <c r="D20" s="6"/>
      <c r="E20" s="6"/>
      <c r="F20" s="6"/>
      <c r="G20" s="6"/>
      <c r="H20" s="6"/>
    </row>
    <row r="21" spans="1:13" x14ac:dyDescent="0.25">
      <c r="A21" s="3" t="s">
        <v>40</v>
      </c>
      <c r="B21" s="2"/>
      <c r="C21" s="5">
        <f t="shared" ref="C21:H21" si="7">SUM(C22:C23)</f>
        <v>0</v>
      </c>
      <c r="D21" s="5">
        <f t="shared" si="7"/>
        <v>0</v>
      </c>
      <c r="E21" s="5">
        <f t="shared" si="7"/>
        <v>0</v>
      </c>
      <c r="F21" s="5">
        <f t="shared" si="7"/>
        <v>0</v>
      </c>
      <c r="G21" s="5">
        <f t="shared" si="7"/>
        <v>0</v>
      </c>
      <c r="H21" s="5">
        <f t="shared" si="7"/>
        <v>0</v>
      </c>
    </row>
    <row r="22" spans="1:13" x14ac:dyDescent="0.25">
      <c r="A22" s="2"/>
      <c r="B22" s="2" t="s">
        <v>63</v>
      </c>
      <c r="C22" s="6"/>
      <c r="D22" s="6"/>
      <c r="E22" s="6"/>
      <c r="F22" s="6"/>
      <c r="G22" s="6"/>
      <c r="H22" s="6"/>
    </row>
    <row r="23" spans="1:13" x14ac:dyDescent="0.25">
      <c r="A23" s="2"/>
      <c r="B23" s="2" t="s">
        <v>45</v>
      </c>
      <c r="C23" s="6"/>
      <c r="D23" s="6"/>
      <c r="E23" s="6"/>
      <c r="F23" s="6"/>
      <c r="G23" s="6"/>
      <c r="H23" s="6"/>
    </row>
    <row r="24" spans="1:13" x14ac:dyDescent="0.25">
      <c r="A24" s="13" t="s">
        <v>100</v>
      </c>
      <c r="B24" s="13"/>
      <c r="C24" s="14"/>
      <c r="D24" s="92">
        <f>D4+D17+D21</f>
        <v>25403.119999999999</v>
      </c>
      <c r="E24" s="14">
        <f>E4+E17+E21</f>
        <v>25403.119999999999</v>
      </c>
      <c r="F24" s="14">
        <f>F4+F17+F21</f>
        <v>25403.119999999999</v>
      </c>
      <c r="G24" s="14">
        <f>G4+G17+G21</f>
        <v>25403.119999999999</v>
      </c>
      <c r="H24" s="14">
        <f>H4+H17+H21</f>
        <v>25403.119999999999</v>
      </c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showGridLines="0" zoomScale="130" zoomScaleNormal="130" workbookViewId="0">
      <selection activeCell="C13" sqref="C13"/>
    </sheetView>
  </sheetViews>
  <sheetFormatPr baseColWidth="10" defaultColWidth="9.140625" defaultRowHeight="15" x14ac:dyDescent="0.25"/>
  <cols>
    <col min="1" max="1" width="2.85546875" customWidth="1"/>
    <col min="2" max="2" width="42.42578125" customWidth="1"/>
    <col min="3" max="7" width="15.28515625" customWidth="1"/>
  </cols>
  <sheetData>
    <row r="1" spans="1:9" x14ac:dyDescent="0.25">
      <c r="A1" s="8" t="s">
        <v>56</v>
      </c>
      <c r="B1" s="80"/>
    </row>
    <row r="3" spans="1:9" x14ac:dyDescent="0.25">
      <c r="B3" s="1" t="s">
        <v>57</v>
      </c>
      <c r="C3" s="13" t="s">
        <v>67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9" x14ac:dyDescent="0.25">
      <c r="A4" s="23" t="s">
        <v>71</v>
      </c>
      <c r="B4" s="2" t="s">
        <v>58</v>
      </c>
      <c r="C4" s="4">
        <f>Presupuesto_Ventas!I14</f>
        <v>59400</v>
      </c>
      <c r="D4" s="4">
        <f>Presupuesto_Ventas!J14</f>
        <v>61182</v>
      </c>
      <c r="E4" s="4">
        <f>Presupuesto_Ventas!K14</f>
        <v>63017.460000000006</v>
      </c>
      <c r="F4" s="4">
        <f>Presupuesto_Ventas!L14</f>
        <v>64907.983800000009</v>
      </c>
      <c r="G4" s="4">
        <f>Presupuesto_Ventas!M14</f>
        <v>66855.223314000003</v>
      </c>
    </row>
    <row r="5" spans="1:9" x14ac:dyDescent="0.25">
      <c r="A5" s="23" t="s">
        <v>72</v>
      </c>
      <c r="B5" s="2" t="s">
        <v>59</v>
      </c>
      <c r="C5" s="4">
        <f>Presupuesto_CostosVariables!P14</f>
        <v>21600</v>
      </c>
      <c r="D5" s="4">
        <f>Presupuesto_CostosVariables!Q14</f>
        <v>22248</v>
      </c>
      <c r="E5" s="4">
        <f>Presupuesto_CostosVariables!R14</f>
        <v>22915.440000000002</v>
      </c>
      <c r="F5" s="4">
        <f>Presupuesto_CostosVariables!S14</f>
        <v>23602.903200000004</v>
      </c>
      <c r="G5" s="4">
        <f>Presupuesto_CostosVariables!T14</f>
        <v>24310.990296000004</v>
      </c>
    </row>
    <row r="6" spans="1:9" x14ac:dyDescent="0.25">
      <c r="A6" s="23" t="s">
        <v>73</v>
      </c>
      <c r="B6" s="3" t="s">
        <v>60</v>
      </c>
      <c r="C6" s="5">
        <f t="shared" ref="C6:G6" si="0">C4-C5</f>
        <v>37800</v>
      </c>
      <c r="D6" s="5">
        <f t="shared" si="0"/>
        <v>38934</v>
      </c>
      <c r="E6" s="5">
        <f t="shared" si="0"/>
        <v>40102.020000000004</v>
      </c>
      <c r="F6" s="5">
        <f t="shared" si="0"/>
        <v>41305.080600000001</v>
      </c>
      <c r="G6" s="5">
        <f t="shared" si="0"/>
        <v>42544.233017999999</v>
      </c>
    </row>
    <row r="7" spans="1:9" x14ac:dyDescent="0.25">
      <c r="A7" s="23" t="s">
        <v>72</v>
      </c>
      <c r="B7" s="2" t="s">
        <v>61</v>
      </c>
      <c r="C7" s="4">
        <f>Presupuesto_CostosFijos!D4</f>
        <v>23547.119999999999</v>
      </c>
      <c r="D7" s="4">
        <f>Presupuesto_CostosFijos!E4</f>
        <v>23547.119999999999</v>
      </c>
      <c r="E7" s="4">
        <f>Presupuesto_CostosFijos!F4</f>
        <v>23547.119999999999</v>
      </c>
      <c r="F7" s="4">
        <f>Presupuesto_CostosFijos!G4</f>
        <v>23547.119999999999</v>
      </c>
      <c r="G7" s="4">
        <f>Presupuesto_CostosFijos!H4</f>
        <v>23547.119999999999</v>
      </c>
    </row>
    <row r="8" spans="1:9" x14ac:dyDescent="0.25">
      <c r="A8" s="23" t="s">
        <v>72</v>
      </c>
      <c r="B8" s="2" t="s">
        <v>70</v>
      </c>
      <c r="C8" s="4">
        <f>Depreciaciones!Z17</f>
        <v>4333.3333333333339</v>
      </c>
      <c r="D8" s="4">
        <f>Depreciaciones!AA17</f>
        <v>4333.3333333333339</v>
      </c>
      <c r="E8" s="4">
        <f>Depreciaciones!AB17</f>
        <v>4460</v>
      </c>
      <c r="F8" s="4">
        <f>Depreciaciones!AC17</f>
        <v>3126.6666666666665</v>
      </c>
      <c r="G8" s="4">
        <f>Depreciaciones!AD17</f>
        <v>3253.3333333333335</v>
      </c>
    </row>
    <row r="9" spans="1:9" x14ac:dyDescent="0.25">
      <c r="A9" s="23" t="s">
        <v>73</v>
      </c>
      <c r="B9" s="3" t="s">
        <v>62</v>
      </c>
      <c r="C9" s="5">
        <f>C6-C7-C8</f>
        <v>9919.5466666666671</v>
      </c>
      <c r="D9" s="5">
        <f t="shared" ref="D9:G9" si="1">D6-D7-D8</f>
        <v>11053.546666666667</v>
      </c>
      <c r="E9" s="5">
        <f t="shared" si="1"/>
        <v>12094.900000000005</v>
      </c>
      <c r="F9" s="5">
        <f t="shared" si="1"/>
        <v>14631.293933333336</v>
      </c>
      <c r="G9" s="5">
        <f t="shared" si="1"/>
        <v>15743.779684666666</v>
      </c>
    </row>
    <row r="10" spans="1:9" x14ac:dyDescent="0.25">
      <c r="A10" s="23" t="s">
        <v>72</v>
      </c>
      <c r="B10" s="2" t="s">
        <v>63</v>
      </c>
      <c r="C10" s="4">
        <f>Presupuesto_CostosFijos!D21</f>
        <v>0</v>
      </c>
      <c r="D10" s="4">
        <f>Presupuesto_CostosFijos!E21</f>
        <v>0</v>
      </c>
      <c r="E10" s="4">
        <f>Presupuesto_CostosFijos!F21</f>
        <v>0</v>
      </c>
      <c r="F10" s="4">
        <f>Presupuesto_CostosFijos!G21</f>
        <v>0</v>
      </c>
      <c r="G10" s="4">
        <f>Presupuesto_CostosFijos!H21</f>
        <v>0</v>
      </c>
    </row>
    <row r="11" spans="1:9" x14ac:dyDescent="0.25">
      <c r="A11" s="23" t="s">
        <v>73</v>
      </c>
      <c r="B11" s="3" t="s">
        <v>64</v>
      </c>
      <c r="C11" s="5">
        <f>C9-C10</f>
        <v>9919.5466666666671</v>
      </c>
      <c r="D11" s="5">
        <f t="shared" ref="D11:G11" si="2">D9-D10</f>
        <v>11053.546666666667</v>
      </c>
      <c r="E11" s="5">
        <f t="shared" si="2"/>
        <v>12094.900000000005</v>
      </c>
      <c r="F11" s="5">
        <f t="shared" si="2"/>
        <v>14631.293933333336</v>
      </c>
      <c r="G11" s="5">
        <f t="shared" si="2"/>
        <v>15743.779684666666</v>
      </c>
    </row>
    <row r="12" spans="1:9" x14ac:dyDescent="0.25">
      <c r="A12" s="23" t="s">
        <v>72</v>
      </c>
      <c r="B12" s="2" t="s">
        <v>65</v>
      </c>
      <c r="C12" s="4">
        <f>Presupuesto_CostosFijos!D19+Presupuesto_CostosFijos!D20</f>
        <v>256</v>
      </c>
      <c r="D12" s="4">
        <f>Presupuesto_CostosFijos!E19+Presupuesto_CostosFijos!E20</f>
        <v>256</v>
      </c>
      <c r="E12" s="4">
        <f>Presupuesto_CostosFijos!F19+Presupuesto_CostosFijos!F20</f>
        <v>256</v>
      </c>
      <c r="F12" s="4">
        <f>Presupuesto_CostosFijos!G19+Presupuesto_CostosFijos!G20</f>
        <v>256</v>
      </c>
      <c r="G12" s="4">
        <f>Presupuesto_CostosFijos!H19+Presupuesto_CostosFijos!H20</f>
        <v>256</v>
      </c>
    </row>
    <row r="13" spans="1:9" x14ac:dyDescent="0.25">
      <c r="A13" s="23" t="s">
        <v>73</v>
      </c>
      <c r="B13" s="13" t="s">
        <v>66</v>
      </c>
      <c r="C13" s="14">
        <f>C11-C12</f>
        <v>9663.5466666666671</v>
      </c>
      <c r="D13" s="14">
        <f t="shared" ref="D13:G13" si="3">D11-D12</f>
        <v>10797.546666666667</v>
      </c>
      <c r="E13" s="14">
        <f t="shared" si="3"/>
        <v>11838.900000000005</v>
      </c>
      <c r="F13" s="14">
        <f t="shared" si="3"/>
        <v>14375.293933333336</v>
      </c>
      <c r="G13" s="14">
        <f t="shared" si="3"/>
        <v>15487.779684666666</v>
      </c>
    </row>
    <row r="15" spans="1:9" x14ac:dyDescent="0.25">
      <c r="D15" s="44"/>
      <c r="E15" s="44"/>
      <c r="F15" s="44"/>
      <c r="G15" s="44"/>
      <c r="H15" s="44"/>
      <c r="I15" s="44"/>
    </row>
  </sheetData>
  <pageMargins left="0.7" right="0.7" top="0.75" bottom="0.75" header="0.3" footer="0.3"/>
  <pageSetup orientation="portrait" r:id="rId1"/>
  <ignoredErrors>
    <ignoredError sqref="C12:G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showGridLines="0" zoomScaleNormal="100" workbookViewId="0">
      <selection activeCell="H21" sqref="H21"/>
    </sheetView>
  </sheetViews>
  <sheetFormatPr baseColWidth="10" defaultColWidth="9.140625" defaultRowHeight="15" x14ac:dyDescent="0.25"/>
  <cols>
    <col min="1" max="1" width="2.85546875" customWidth="1"/>
    <col min="2" max="2" width="62.85546875" customWidth="1"/>
    <col min="3" max="8" width="16.28515625" customWidth="1"/>
  </cols>
  <sheetData>
    <row r="1" spans="1:8" x14ac:dyDescent="0.25">
      <c r="A1" s="8" t="s">
        <v>74</v>
      </c>
    </row>
    <row r="3" spans="1:8" x14ac:dyDescent="0.25">
      <c r="B3" s="1" t="s">
        <v>57</v>
      </c>
      <c r="C3" s="13" t="s">
        <v>8</v>
      </c>
      <c r="D3" s="13" t="s">
        <v>67</v>
      </c>
      <c r="E3" s="13" t="s">
        <v>10</v>
      </c>
      <c r="F3" s="13" t="s">
        <v>11</v>
      </c>
      <c r="G3" s="13" t="s">
        <v>12</v>
      </c>
      <c r="H3" s="13" t="s">
        <v>13</v>
      </c>
    </row>
    <row r="4" spans="1:8" x14ac:dyDescent="0.25">
      <c r="A4" s="23" t="s">
        <v>71</v>
      </c>
      <c r="B4" s="2" t="s">
        <v>58</v>
      </c>
      <c r="C4" s="26">
        <v>0</v>
      </c>
      <c r="D4" s="4">
        <f>Presupuesto_Ventas!I14</f>
        <v>59400</v>
      </c>
      <c r="E4" s="4">
        <f>Presupuesto_Ventas!J14</f>
        <v>61182</v>
      </c>
      <c r="F4" s="4">
        <f>Presupuesto_Ventas!K14</f>
        <v>63017.460000000006</v>
      </c>
      <c r="G4" s="4">
        <f>Presupuesto_Ventas!L14</f>
        <v>64907.983800000009</v>
      </c>
      <c r="H4" s="4">
        <f>Presupuesto_Ventas!M14</f>
        <v>66855.223314000003</v>
      </c>
    </row>
    <row r="5" spans="1:8" x14ac:dyDescent="0.25">
      <c r="A5" s="23" t="s">
        <v>72</v>
      </c>
      <c r="B5" s="24" t="s">
        <v>59</v>
      </c>
      <c r="C5" s="26">
        <v>0</v>
      </c>
      <c r="D5" s="12">
        <f>Presupuesto_CostosVariables!P14</f>
        <v>21600</v>
      </c>
      <c r="E5" s="12">
        <f>Presupuesto_CostosVariables!Q14</f>
        <v>22248</v>
      </c>
      <c r="F5" s="12">
        <f>Presupuesto_CostosVariables!R14</f>
        <v>22915.440000000002</v>
      </c>
      <c r="G5" s="12">
        <f>Presupuesto_CostosVariables!S14</f>
        <v>23602.903200000004</v>
      </c>
      <c r="H5" s="12">
        <f>Presupuesto_CostosVariables!T14</f>
        <v>24310.990296000004</v>
      </c>
    </row>
    <row r="6" spans="1:8" x14ac:dyDescent="0.25">
      <c r="A6" s="23" t="s">
        <v>73</v>
      </c>
      <c r="B6" s="24" t="s">
        <v>60</v>
      </c>
      <c r="C6" s="26">
        <v>0</v>
      </c>
      <c r="D6" s="12">
        <f>D4-D5</f>
        <v>37800</v>
      </c>
      <c r="E6" s="12">
        <f t="shared" ref="E6:H6" si="0">E4-E5</f>
        <v>38934</v>
      </c>
      <c r="F6" s="12">
        <f t="shared" si="0"/>
        <v>40102.020000000004</v>
      </c>
      <c r="G6" s="12">
        <f t="shared" si="0"/>
        <v>41305.080600000001</v>
      </c>
      <c r="H6" s="12">
        <f t="shared" si="0"/>
        <v>42544.233017999999</v>
      </c>
    </row>
    <row r="7" spans="1:8" x14ac:dyDescent="0.25">
      <c r="A7" s="23" t="s">
        <v>72</v>
      </c>
      <c r="B7" s="24" t="s">
        <v>61</v>
      </c>
      <c r="C7" s="26">
        <v>0</v>
      </c>
      <c r="D7" s="12">
        <f>Presupuesto_CostosFijos!D4</f>
        <v>23547.119999999999</v>
      </c>
      <c r="E7" s="12">
        <f>Presupuesto_CostosFijos!E4</f>
        <v>23547.119999999999</v>
      </c>
      <c r="F7" s="12">
        <f>Presupuesto_CostosFijos!F4</f>
        <v>23547.119999999999</v>
      </c>
      <c r="G7" s="12">
        <f>Presupuesto_CostosFijos!G4</f>
        <v>23547.119999999999</v>
      </c>
      <c r="H7" s="12">
        <f>Presupuesto_CostosFijos!H4</f>
        <v>23547.119999999999</v>
      </c>
    </row>
    <row r="8" spans="1:8" x14ac:dyDescent="0.25">
      <c r="A8" s="23" t="s">
        <v>72</v>
      </c>
      <c r="B8" s="24" t="s">
        <v>70</v>
      </c>
      <c r="C8" s="26">
        <v>0</v>
      </c>
      <c r="D8" s="12">
        <f>Depreciaciones!Z17</f>
        <v>4333.3333333333339</v>
      </c>
      <c r="E8" s="12">
        <f>Depreciaciones!AA17</f>
        <v>4333.3333333333339</v>
      </c>
      <c r="F8" s="12">
        <f>Depreciaciones!AB17</f>
        <v>4460</v>
      </c>
      <c r="G8" s="12">
        <f>Depreciaciones!AC17</f>
        <v>3126.6666666666665</v>
      </c>
      <c r="H8" s="12">
        <f>Depreciaciones!AD17</f>
        <v>3253.3333333333335</v>
      </c>
    </row>
    <row r="9" spans="1:8" x14ac:dyDescent="0.25">
      <c r="A9" s="23" t="s">
        <v>73</v>
      </c>
      <c r="B9" s="24" t="s">
        <v>62</v>
      </c>
      <c r="C9" s="26">
        <v>0</v>
      </c>
      <c r="D9" s="12">
        <f>D6-D7-D8</f>
        <v>9919.5466666666671</v>
      </c>
      <c r="E9" s="12">
        <f t="shared" ref="E9:H9" si="1">E6-E7-E8</f>
        <v>11053.546666666667</v>
      </c>
      <c r="F9" s="12">
        <f t="shared" si="1"/>
        <v>12094.900000000005</v>
      </c>
      <c r="G9" s="12">
        <f t="shared" si="1"/>
        <v>14631.293933333336</v>
      </c>
      <c r="H9" s="12">
        <f t="shared" si="1"/>
        <v>15743.779684666666</v>
      </c>
    </row>
    <row r="10" spans="1:8" x14ac:dyDescent="0.25">
      <c r="A10" s="23" t="s">
        <v>72</v>
      </c>
      <c r="B10" s="24" t="s">
        <v>63</v>
      </c>
      <c r="C10" s="26">
        <v>0</v>
      </c>
      <c r="D10" s="12">
        <f>Presupuesto_CostosFijos!D22+Presupuesto_CostosFijos!D23</f>
        <v>0</v>
      </c>
      <c r="E10" s="12">
        <f>Presupuesto_CostosFijos!E22+Presupuesto_CostosFijos!E23</f>
        <v>0</v>
      </c>
      <c r="F10" s="12">
        <f>Presupuesto_CostosFijos!F22+Presupuesto_CostosFijos!F23</f>
        <v>0</v>
      </c>
      <c r="G10" s="12">
        <f>Presupuesto_CostosFijos!G22+Presupuesto_CostosFijos!G23</f>
        <v>0</v>
      </c>
      <c r="H10" s="12">
        <f>Presupuesto_CostosFijos!H22+Presupuesto_CostosFijos!H23</f>
        <v>0</v>
      </c>
    </row>
    <row r="11" spans="1:8" x14ac:dyDescent="0.25">
      <c r="A11" s="23" t="s">
        <v>73</v>
      </c>
      <c r="B11" s="24" t="s">
        <v>64</v>
      </c>
      <c r="C11" s="26">
        <v>0</v>
      </c>
      <c r="D11" s="12">
        <f>D9-D10</f>
        <v>9919.5466666666671</v>
      </c>
      <c r="E11" s="12">
        <f t="shared" ref="E11:H11" si="2">E9-E10</f>
        <v>11053.546666666667</v>
      </c>
      <c r="F11" s="12">
        <f t="shared" si="2"/>
        <v>12094.900000000005</v>
      </c>
      <c r="G11" s="12">
        <f t="shared" si="2"/>
        <v>14631.293933333336</v>
      </c>
      <c r="H11" s="12">
        <f t="shared" si="2"/>
        <v>15743.779684666666</v>
      </c>
    </row>
    <row r="12" spans="1:8" x14ac:dyDescent="0.25">
      <c r="A12" s="23" t="s">
        <v>71</v>
      </c>
      <c r="B12" s="2" t="s">
        <v>70</v>
      </c>
      <c r="C12" s="26">
        <v>0</v>
      </c>
      <c r="D12" s="4">
        <f>Depreciaciones!Z17</f>
        <v>4333.3333333333339</v>
      </c>
      <c r="E12" s="4">
        <f>Depreciaciones!AA17</f>
        <v>4333.3333333333339</v>
      </c>
      <c r="F12" s="4">
        <f>Depreciaciones!AB17</f>
        <v>4460</v>
      </c>
      <c r="G12" s="4">
        <f>Depreciaciones!AC17</f>
        <v>3126.6666666666665</v>
      </c>
      <c r="H12" s="4">
        <f>Depreciaciones!AD17</f>
        <v>3253.3333333333335</v>
      </c>
    </row>
    <row r="13" spans="1:8" x14ac:dyDescent="0.25">
      <c r="A13" s="23" t="s">
        <v>73</v>
      </c>
      <c r="B13" s="3" t="s">
        <v>75</v>
      </c>
      <c r="C13" s="27">
        <v>0</v>
      </c>
      <c r="D13" s="5">
        <f>D11+D12</f>
        <v>14252.880000000001</v>
      </c>
      <c r="E13" s="5">
        <f t="shared" ref="E13:H13" si="3">E11+E12</f>
        <v>15386.880000000001</v>
      </c>
      <c r="F13" s="5">
        <f t="shared" si="3"/>
        <v>16554.900000000005</v>
      </c>
      <c r="G13" s="5">
        <f t="shared" si="3"/>
        <v>17757.960600000002</v>
      </c>
      <c r="H13" s="5">
        <f t="shared" si="3"/>
        <v>18997.113018</v>
      </c>
    </row>
    <row r="14" spans="1:8" x14ac:dyDescent="0.25">
      <c r="A14" s="25" t="s">
        <v>72</v>
      </c>
      <c r="B14" s="2" t="s">
        <v>83</v>
      </c>
      <c r="C14" s="4">
        <f>Presupuesto_Inversiones!C24</f>
        <v>17500</v>
      </c>
      <c r="D14" s="4">
        <f>Presupuesto_Inversiones!D24</f>
        <v>0</v>
      </c>
      <c r="E14" s="4">
        <f>Presupuesto_Inversiones!E24</f>
        <v>0</v>
      </c>
      <c r="F14" s="4">
        <f>Presupuesto_Inversiones!F24</f>
        <v>0</v>
      </c>
      <c r="G14" s="4">
        <f>Presupuesto_Inversiones!G24</f>
        <v>0</v>
      </c>
      <c r="H14" s="4">
        <f>Presupuesto_Inversiones!H24</f>
        <v>0</v>
      </c>
    </row>
    <row r="15" spans="1:8" x14ac:dyDescent="0.25">
      <c r="A15" s="25" t="s">
        <v>73</v>
      </c>
      <c r="B15" s="3" t="s">
        <v>76</v>
      </c>
      <c r="C15" s="5">
        <f>C13-C14</f>
        <v>-17500</v>
      </c>
      <c r="D15" s="5">
        <f t="shared" ref="D15:H15" si="4">D13-D14</f>
        <v>14252.880000000001</v>
      </c>
      <c r="E15" s="5">
        <f t="shared" si="4"/>
        <v>15386.880000000001</v>
      </c>
      <c r="F15" s="5">
        <f t="shared" si="4"/>
        <v>16554.900000000005</v>
      </c>
      <c r="G15" s="5">
        <f t="shared" si="4"/>
        <v>17757.960600000002</v>
      </c>
      <c r="H15" s="5">
        <f t="shared" si="4"/>
        <v>18997.113018</v>
      </c>
    </row>
    <row r="16" spans="1:8" x14ac:dyDescent="0.25">
      <c r="A16" s="23" t="s">
        <v>72</v>
      </c>
      <c r="B16" s="2" t="s">
        <v>82</v>
      </c>
      <c r="C16" s="4">
        <f>Presupuesto_Inversiones!C4+Presupuesto_Inversiones!C17</f>
        <v>24750</v>
      </c>
      <c r="D16" s="4">
        <f>Presupuesto_Inversiones!D4+Presupuesto_Inversiones!D17</f>
        <v>0</v>
      </c>
      <c r="E16" s="4">
        <f>Presupuesto_Inversiones!E4+Presupuesto_Inversiones!E17</f>
        <v>800</v>
      </c>
      <c r="F16" s="4">
        <f>Presupuesto_Inversiones!F4+Presupuesto_Inversiones!F17</f>
        <v>0</v>
      </c>
      <c r="G16" s="4">
        <f>Presupuesto_Inversiones!G4+Presupuesto_Inversiones!G17</f>
        <v>800</v>
      </c>
      <c r="H16" s="4">
        <f>Presupuesto_Inversiones!H4+Presupuesto_Inversiones!H17</f>
        <v>0</v>
      </c>
    </row>
    <row r="17" spans="1:8" x14ac:dyDescent="0.25">
      <c r="A17" s="23" t="s">
        <v>71</v>
      </c>
      <c r="B17" s="2" t="s">
        <v>77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4">
        <f>Depreciaciones!AF17</f>
        <v>6093.333333333333</v>
      </c>
    </row>
    <row r="18" spans="1:8" x14ac:dyDescent="0.25">
      <c r="A18" s="23" t="s">
        <v>73</v>
      </c>
      <c r="B18" s="3" t="s">
        <v>78</v>
      </c>
      <c r="C18" s="5">
        <f>C15-C16+C17</f>
        <v>-42250</v>
      </c>
      <c r="D18" s="5">
        <f t="shared" ref="D18:H18" si="5">D15-D16+D17</f>
        <v>14252.880000000001</v>
      </c>
      <c r="E18" s="5">
        <f t="shared" si="5"/>
        <v>14586.880000000001</v>
      </c>
      <c r="F18" s="5">
        <f t="shared" si="5"/>
        <v>16554.900000000005</v>
      </c>
      <c r="G18" s="5">
        <f t="shared" si="5"/>
        <v>16957.960600000002</v>
      </c>
      <c r="H18" s="5">
        <f t="shared" si="5"/>
        <v>25090.446351333332</v>
      </c>
    </row>
    <row r="19" spans="1:8" x14ac:dyDescent="0.25">
      <c r="A19" s="23" t="s">
        <v>72</v>
      </c>
      <c r="B19" s="2" t="s">
        <v>79</v>
      </c>
      <c r="C19" s="26"/>
      <c r="D19" s="4">
        <f>Presupuesto_CostosFijos!D19+Presupuesto_CostosFijos!D20</f>
        <v>256</v>
      </c>
      <c r="E19" s="4">
        <f>Presupuesto_CostosFijos!E19+Presupuesto_CostosFijos!E20</f>
        <v>256</v>
      </c>
      <c r="F19" s="4">
        <f>Presupuesto_CostosFijos!F19+Presupuesto_CostosFijos!F20</f>
        <v>256</v>
      </c>
      <c r="G19" s="4">
        <f>Presupuesto_CostosFijos!G19+Presupuesto_CostosFijos!G20</f>
        <v>256</v>
      </c>
      <c r="H19" s="4">
        <f>Presupuesto_CostosFijos!H19+Presupuesto_CostosFijos!H20</f>
        <v>256</v>
      </c>
    </row>
    <row r="20" spans="1:8" x14ac:dyDescent="0.25">
      <c r="A20" s="23" t="s">
        <v>72</v>
      </c>
      <c r="B20" s="2" t="s">
        <v>80</v>
      </c>
      <c r="C20" s="26"/>
      <c r="D20" s="4">
        <f>Presupuesto_CostosFijos!D18</f>
        <v>1600</v>
      </c>
      <c r="E20" s="4">
        <f>Presupuesto_CostosFijos!E18</f>
        <v>1600</v>
      </c>
      <c r="F20" s="4">
        <f>Presupuesto_CostosFijos!F18</f>
        <v>1600</v>
      </c>
      <c r="G20" s="4">
        <f>Presupuesto_CostosFijos!G18</f>
        <v>1600</v>
      </c>
      <c r="H20" s="4">
        <f>Presupuesto_CostosFijos!H18</f>
        <v>1600</v>
      </c>
    </row>
    <row r="21" spans="1:8" x14ac:dyDescent="0.25">
      <c r="A21" s="23" t="s">
        <v>73</v>
      </c>
      <c r="B21" s="13" t="s">
        <v>81</v>
      </c>
      <c r="C21" s="14">
        <f>C18-C19-C20</f>
        <v>-42250</v>
      </c>
      <c r="D21" s="14">
        <f t="shared" ref="D21:H21" si="6">D18-D19-D20</f>
        <v>12396.880000000001</v>
      </c>
      <c r="E21" s="14">
        <f t="shared" si="6"/>
        <v>12730.880000000001</v>
      </c>
      <c r="F21" s="14">
        <f t="shared" si="6"/>
        <v>14698.900000000005</v>
      </c>
      <c r="G21" s="14">
        <f t="shared" si="6"/>
        <v>15101.960600000002</v>
      </c>
      <c r="H21" s="14">
        <f t="shared" si="6"/>
        <v>23234.446351333332</v>
      </c>
    </row>
    <row r="22" spans="1:8" hidden="1" x14ac:dyDescent="0.25">
      <c r="B22" s="30" t="s">
        <v>106</v>
      </c>
      <c r="C22" s="29">
        <f>C21</f>
        <v>-42250</v>
      </c>
      <c r="D22" s="29">
        <f>C22+D21</f>
        <v>-29853.119999999999</v>
      </c>
      <c r="E22" s="29">
        <f t="shared" ref="E22:H22" si="7">D22+E21</f>
        <v>-17122.239999999998</v>
      </c>
      <c r="F22" s="29">
        <f t="shared" si="7"/>
        <v>-2423.3399999999929</v>
      </c>
      <c r="G22" s="29">
        <f t="shared" si="7"/>
        <v>12678.620600000009</v>
      </c>
      <c r="H22" s="29">
        <f t="shared" si="7"/>
        <v>35913.066951333341</v>
      </c>
    </row>
    <row r="24" spans="1:8" x14ac:dyDescent="0.25">
      <c r="D24" s="81">
        <f>+(D21-H21)/D21</f>
        <v>-0.87421725073835754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showGridLines="0" tabSelected="1" workbookViewId="0">
      <selection activeCell="C4" sqref="C4"/>
    </sheetView>
  </sheetViews>
  <sheetFormatPr baseColWidth="10" defaultColWidth="9.140625" defaultRowHeight="15" x14ac:dyDescent="0.25"/>
  <cols>
    <col min="2" max="2" width="34" bestFit="1" customWidth="1"/>
    <col min="3" max="3" width="14.85546875" customWidth="1"/>
    <col min="4" max="4" width="73" bestFit="1" customWidth="1"/>
  </cols>
  <sheetData>
    <row r="1" spans="1:4" x14ac:dyDescent="0.25">
      <c r="A1" s="8" t="s">
        <v>74</v>
      </c>
    </row>
    <row r="3" spans="1:4" x14ac:dyDescent="0.25">
      <c r="A3" s="91" t="s">
        <v>86</v>
      </c>
      <c r="B3" s="91"/>
      <c r="C3" s="28" t="s">
        <v>84</v>
      </c>
      <c r="D3" s="28" t="s">
        <v>85</v>
      </c>
    </row>
    <row r="4" spans="1:4" x14ac:dyDescent="0.25">
      <c r="A4" s="2" t="s">
        <v>98</v>
      </c>
      <c r="B4" s="2" t="s">
        <v>99</v>
      </c>
      <c r="C4" s="39">
        <f>IFERROR(Presupuesto_CostosFijos!D24/Presupuesto_CostosVariables!J14,"")</f>
        <v>39919.188571428567</v>
      </c>
      <c r="D4" s="2" t="s">
        <v>122</v>
      </c>
    </row>
    <row r="5" spans="1:4" x14ac:dyDescent="0.25">
      <c r="A5" s="2" t="s">
        <v>92</v>
      </c>
      <c r="B5" s="2" t="s">
        <v>91</v>
      </c>
      <c r="C5" s="33">
        <f>+(48500-42500)/48500</f>
        <v>0.12371134020618557</v>
      </c>
      <c r="D5" s="2" t="s">
        <v>103</v>
      </c>
    </row>
    <row r="6" spans="1:4" x14ac:dyDescent="0.25">
      <c r="A6" s="2" t="s">
        <v>87</v>
      </c>
      <c r="B6" s="2" t="s">
        <v>89</v>
      </c>
      <c r="C6" s="34">
        <f>NPV(C5,Flujo_Efectivo!D21:H21)+Flujo_Efectivo!C21</f>
        <v>11662.171164495485</v>
      </c>
      <c r="D6" s="2" t="s">
        <v>95</v>
      </c>
    </row>
    <row r="7" spans="1:4" x14ac:dyDescent="0.25">
      <c r="A7" s="2" t="s">
        <v>88</v>
      </c>
      <c r="B7" s="2" t="s">
        <v>90</v>
      </c>
      <c r="C7" s="31">
        <f>IFERROR(IRR(Flujo_Efectivo!C21:H21),"")</f>
        <v>0.21973271787569715</v>
      </c>
      <c r="D7" s="2" t="s">
        <v>93</v>
      </c>
    </row>
    <row r="8" spans="1:4" x14ac:dyDescent="0.25">
      <c r="A8" s="15" t="s">
        <v>94</v>
      </c>
      <c r="B8" s="15" t="s">
        <v>104</v>
      </c>
      <c r="C8" s="35">
        <f>IFERROR(NPV(Indicadores_Rentabilidad!C5,Flujo_Efectivo!D21:H21)/Presupuesto_Inversiones!C29,"")</f>
        <v>1.2760277198697156</v>
      </c>
      <c r="D8" s="2" t="s">
        <v>96</v>
      </c>
    </row>
    <row r="9" spans="1:4" x14ac:dyDescent="0.25">
      <c r="A9" s="15" t="s">
        <v>97</v>
      </c>
      <c r="B9" s="15" t="s">
        <v>105</v>
      </c>
      <c r="C9" s="36" t="str">
        <f>IF(Flujo_Efectivo!D22&gt;0,"Año 1", IF(Flujo_Efectivo!E22&gt;0,"Año 2",IF(Flujo_Efectivo!F22&gt;0, "Año 3",IF( Flujo_Efectivo!G22&gt;0, "Año 4",IF(Flujo_Efectivo!H22&gt;0,"Año 5","No se recupera")))))</f>
        <v>Año 4</v>
      </c>
      <c r="D9" s="2" t="s">
        <v>107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Presupuesto_Inversiones</vt:lpstr>
      <vt:lpstr>Depreciaciones</vt:lpstr>
      <vt:lpstr>Presupuesto_Ventas</vt:lpstr>
      <vt:lpstr>Presupuesto_CostosVariables</vt:lpstr>
      <vt:lpstr>Presupuesto_CostosFijos</vt:lpstr>
      <vt:lpstr>Estado_Resultados</vt:lpstr>
      <vt:lpstr>Flujo_Efectivo</vt:lpstr>
      <vt:lpstr>Indicadores_Rentabilidad</vt:lpstr>
    </vt:vector>
  </TitlesOfParts>
  <Company>U S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PrudencioGC</dc:creator>
  <cp:lastModifiedBy>Principal</cp:lastModifiedBy>
  <dcterms:created xsi:type="dcterms:W3CDTF">2018-02-14T17:52:15Z</dcterms:created>
  <dcterms:modified xsi:type="dcterms:W3CDTF">2022-02-21T22:05:31Z</dcterms:modified>
</cp:coreProperties>
</file>