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ncipal\Documents\docs 2022\conv udenar\udenar 2020-2\MATERIAS\FORMULACION PROYECTOS\"/>
    </mc:Choice>
  </mc:AlternateContent>
  <xr:revisionPtr revIDLastSave="0" documentId="13_ncr:1_{1FD59517-BAFE-4A36-98AF-BAE86BF35393}" xr6:coauthVersionLast="47" xr6:coauthVersionMax="47" xr10:uidLastSave="{00000000-0000-0000-0000-000000000000}"/>
  <bookViews>
    <workbookView xWindow="-120" yWindow="-120" windowWidth="20730" windowHeight="11160" tabRatio="914" firstSheet="1" activeTab="2" xr2:uid="{00000000-000D-0000-FFFF-FFFF00000000}"/>
  </bookViews>
  <sheets>
    <sheet name="INSTRUCCIONES" sheetId="9" r:id="rId1"/>
    <sheet name="Presupuesto_Inversiones" sheetId="2" r:id="rId2"/>
    <sheet name="Depreciaciones" sheetId="10" r:id="rId3"/>
    <sheet name="Presupuesto_Ventas" sheetId="1" r:id="rId4"/>
    <sheet name="Presupuesto_CostosVariables" sheetId="3" r:id="rId5"/>
    <sheet name="Presupuesto_CostosFijos" sheetId="4" r:id="rId6"/>
    <sheet name="Estado_Resultados" sheetId="5" r:id="rId7"/>
    <sheet name="Flujo_Efectivo" sheetId="6" r:id="rId8"/>
    <sheet name="Indicadores_Rentabilidad" sheetId="7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I4" i="1" s="1"/>
  <c r="I23" i="3"/>
  <c r="I19" i="3"/>
  <c r="D22" i="3"/>
  <c r="D23" i="3"/>
  <c r="D20" i="3"/>
  <c r="D19" i="3"/>
  <c r="K4" i="4"/>
  <c r="D21" i="3"/>
  <c r="C12" i="2"/>
  <c r="K9" i="4"/>
  <c r="K6" i="4"/>
  <c r="K7" i="4"/>
  <c r="K4" i="3" l="1"/>
  <c r="E4" i="1"/>
  <c r="F4" i="1" s="1"/>
  <c r="G4" i="1" s="1"/>
  <c r="H4" i="1" s="1"/>
  <c r="I5" i="1"/>
  <c r="C4" i="2"/>
  <c r="F17" i="1" l="1"/>
  <c r="F16" i="3" s="1"/>
  <c r="C5" i="7" l="1"/>
  <c r="P4" i="3" l="1"/>
  <c r="C24" i="2"/>
  <c r="C14" i="6" s="1"/>
  <c r="K19" i="4"/>
  <c r="L19" i="4" s="1"/>
  <c r="M19" i="4" s="1"/>
  <c r="C4" i="4"/>
  <c r="L18" i="4"/>
  <c r="M18" i="4" s="1"/>
  <c r="C15" i="6" l="1"/>
  <c r="W7" i="10" l="1"/>
  <c r="W8" i="10"/>
  <c r="W9" i="10"/>
  <c r="W10" i="10"/>
  <c r="W11" i="10"/>
  <c r="W12" i="10"/>
  <c r="W13" i="10"/>
  <c r="W14" i="10"/>
  <c r="W15" i="10"/>
  <c r="W16" i="10"/>
  <c r="W17" i="10"/>
  <c r="W6" i="10"/>
  <c r="U7" i="10"/>
  <c r="U8" i="10"/>
  <c r="U9" i="10"/>
  <c r="U10" i="10"/>
  <c r="U11" i="10"/>
  <c r="U12" i="10"/>
  <c r="U13" i="10"/>
  <c r="U14" i="10"/>
  <c r="U15" i="10"/>
  <c r="U16" i="10"/>
  <c r="U17" i="10"/>
  <c r="U6" i="10"/>
  <c r="R7" i="10"/>
  <c r="R8" i="10"/>
  <c r="R9" i="10"/>
  <c r="R10" i="10"/>
  <c r="R11" i="10"/>
  <c r="R12" i="10"/>
  <c r="R13" i="10"/>
  <c r="R14" i="10"/>
  <c r="R15" i="10"/>
  <c r="R16" i="10"/>
  <c r="R17" i="10"/>
  <c r="R6" i="10"/>
  <c r="N7" i="10"/>
  <c r="N8" i="10"/>
  <c r="N9" i="10"/>
  <c r="N10" i="10"/>
  <c r="N11" i="10"/>
  <c r="N12" i="10"/>
  <c r="N13" i="10"/>
  <c r="N14" i="10"/>
  <c r="N15" i="10"/>
  <c r="N16" i="10"/>
  <c r="N17" i="10"/>
  <c r="N6" i="10"/>
  <c r="I7" i="10"/>
  <c r="I8" i="10"/>
  <c r="I9" i="10"/>
  <c r="I10" i="10"/>
  <c r="I11" i="10"/>
  <c r="I12" i="10"/>
  <c r="I13" i="10"/>
  <c r="I14" i="10"/>
  <c r="I15" i="10"/>
  <c r="I16" i="10"/>
  <c r="I17" i="10"/>
  <c r="I6" i="10"/>
  <c r="C7" i="10"/>
  <c r="C8" i="10"/>
  <c r="C9" i="10"/>
  <c r="C10" i="10"/>
  <c r="C11" i="10"/>
  <c r="C12" i="10"/>
  <c r="C13" i="10"/>
  <c r="C14" i="10"/>
  <c r="C15" i="10"/>
  <c r="C16" i="10"/>
  <c r="C17" i="10"/>
  <c r="C6" i="10"/>
  <c r="Y7" i="10"/>
  <c r="Q7" i="10" s="1"/>
  <c r="Y8" i="10"/>
  <c r="K8" i="10" s="1"/>
  <c r="Y9" i="10"/>
  <c r="T9" i="10" s="1"/>
  <c r="Y10" i="10"/>
  <c r="Y11" i="10"/>
  <c r="T11" i="10" s="1"/>
  <c r="Y12" i="10"/>
  <c r="Y13" i="10"/>
  <c r="L13" i="10" s="1"/>
  <c r="Y14" i="10"/>
  <c r="V14" i="10" s="1"/>
  <c r="Y15" i="10"/>
  <c r="T15" i="10" s="1"/>
  <c r="Y16" i="10"/>
  <c r="G16" i="10" s="1"/>
  <c r="Y17" i="10"/>
  <c r="P17" i="10" s="1"/>
  <c r="Y6" i="10"/>
  <c r="V6" i="10" s="1"/>
  <c r="T10" i="10" l="1"/>
  <c r="T12" i="10"/>
  <c r="Q16" i="10"/>
  <c r="H16" i="10"/>
  <c r="K16" i="10"/>
  <c r="V9" i="10"/>
  <c r="M8" i="10"/>
  <c r="H8" i="10"/>
  <c r="V8" i="10"/>
  <c r="O8" i="10"/>
  <c r="V10" i="10"/>
  <c r="H12" i="10"/>
  <c r="Q11" i="10"/>
  <c r="V7" i="10"/>
  <c r="M6" i="10"/>
  <c r="O17" i="10"/>
  <c r="D16" i="10"/>
  <c r="Z16" i="10" s="1"/>
  <c r="D12" i="10"/>
  <c r="Z12" i="10" s="1"/>
  <c r="J12" i="10"/>
  <c r="O12" i="10"/>
  <c r="S12" i="10"/>
  <c r="L6" i="10"/>
  <c r="O6" i="10"/>
  <c r="T16" i="10"/>
  <c r="L11" i="10"/>
  <c r="J9" i="10"/>
  <c r="J8" i="10"/>
  <c r="S16" i="10"/>
  <c r="G12" i="10"/>
  <c r="K12" i="10"/>
  <c r="L8" i="10"/>
  <c r="D9" i="10"/>
  <c r="Z9" i="10" s="1"/>
  <c r="D8" i="10"/>
  <c r="Z8" i="10" s="1"/>
  <c r="V16" i="10"/>
  <c r="E17" i="10"/>
  <c r="E9" i="10"/>
  <c r="J16" i="10"/>
  <c r="D13" i="10"/>
  <c r="Z13" i="10" s="1"/>
  <c r="J17" i="10"/>
  <c r="M13" i="10"/>
  <c r="O16" i="10"/>
  <c r="S8" i="10"/>
  <c r="F16" i="10"/>
  <c r="F12" i="10"/>
  <c r="F8" i="10"/>
  <c r="M16" i="10"/>
  <c r="K13" i="10"/>
  <c r="P16" i="10"/>
  <c r="Q8" i="10"/>
  <c r="T8" i="10"/>
  <c r="G17" i="10"/>
  <c r="E16" i="10"/>
  <c r="H9" i="10"/>
  <c r="E8" i="10"/>
  <c r="L16" i="10"/>
  <c r="M12" i="10"/>
  <c r="P12" i="10"/>
  <c r="P8" i="10"/>
  <c r="S15" i="10"/>
  <c r="U18" i="10"/>
  <c r="J13" i="10"/>
  <c r="S17" i="10"/>
  <c r="F6" i="10"/>
  <c r="H13" i="10"/>
  <c r="L17" i="10"/>
  <c r="P6" i="10"/>
  <c r="G6" i="10"/>
  <c r="F13" i="10"/>
  <c r="E12" i="10"/>
  <c r="G8" i="10"/>
  <c r="L12" i="10"/>
  <c r="L9" i="10"/>
  <c r="Q17" i="10"/>
  <c r="T17" i="10"/>
  <c r="D15" i="10"/>
  <c r="Z15" i="10" s="1"/>
  <c r="S11" i="10"/>
  <c r="V15" i="10"/>
  <c r="W18" i="10"/>
  <c r="Q13" i="10"/>
  <c r="F17" i="10"/>
  <c r="G13" i="10"/>
  <c r="G9" i="10"/>
  <c r="M17" i="10"/>
  <c r="K15" i="10"/>
  <c r="K9" i="10"/>
  <c r="P13" i="10"/>
  <c r="Q9" i="10"/>
  <c r="P7" i="10"/>
  <c r="D11" i="10"/>
  <c r="Z11" i="10" s="1"/>
  <c r="D7" i="10"/>
  <c r="Z7" i="10" s="1"/>
  <c r="J15" i="10"/>
  <c r="J11" i="10"/>
  <c r="J7" i="10"/>
  <c r="O15" i="10"/>
  <c r="O11" i="10"/>
  <c r="O7" i="10"/>
  <c r="S7" i="10"/>
  <c r="V11" i="10"/>
  <c r="H17" i="10"/>
  <c r="G15" i="10"/>
  <c r="F11" i="10"/>
  <c r="F7" i="10"/>
  <c r="K17" i="10"/>
  <c r="M9" i="10"/>
  <c r="M7" i="10"/>
  <c r="D6" i="10"/>
  <c r="Z6" i="10" s="1"/>
  <c r="J14" i="10"/>
  <c r="J10" i="10"/>
  <c r="F15" i="10"/>
  <c r="E11" i="10"/>
  <c r="P11" i="10"/>
  <c r="T7" i="10"/>
  <c r="X6" i="10"/>
  <c r="H6" i="10"/>
  <c r="E15" i="10"/>
  <c r="AA15" i="10" s="1"/>
  <c r="H11" i="10"/>
  <c r="G10" i="10"/>
  <c r="H7" i="10"/>
  <c r="J6" i="10"/>
  <c r="M15" i="10"/>
  <c r="K7" i="10"/>
  <c r="Q6" i="10"/>
  <c r="P15" i="10"/>
  <c r="T6" i="10"/>
  <c r="D17" i="10"/>
  <c r="Z17" i="10" s="1"/>
  <c r="E13" i="10"/>
  <c r="C18" i="10"/>
  <c r="O13" i="10"/>
  <c r="O9" i="10"/>
  <c r="S13" i="10"/>
  <c r="R18" i="10"/>
  <c r="V17" i="10"/>
  <c r="V13" i="10"/>
  <c r="E7" i="10"/>
  <c r="K11" i="10"/>
  <c r="L7" i="10"/>
  <c r="Q15" i="10"/>
  <c r="G14" i="10"/>
  <c r="T14" i="10"/>
  <c r="E6" i="10"/>
  <c r="H15" i="10"/>
  <c r="G11" i="10"/>
  <c r="G7" i="10"/>
  <c r="I18" i="10"/>
  <c r="K6" i="10"/>
  <c r="L15" i="10"/>
  <c r="M11" i="10"/>
  <c r="Q12" i="10"/>
  <c r="V12" i="10"/>
  <c r="T13" i="10"/>
  <c r="S9" i="10"/>
  <c r="N18" i="10"/>
  <c r="P9" i="10"/>
  <c r="F9" i="10"/>
  <c r="F14" i="10"/>
  <c r="F10" i="10"/>
  <c r="M14" i="10"/>
  <c r="M10" i="10"/>
  <c r="Q14" i="10"/>
  <c r="Q10" i="10"/>
  <c r="S14" i="10"/>
  <c r="S10" i="10"/>
  <c r="L10" i="10"/>
  <c r="P14" i="10"/>
  <c r="P10" i="10"/>
  <c r="E14" i="10"/>
  <c r="E10" i="10"/>
  <c r="L14" i="10"/>
  <c r="H14" i="10"/>
  <c r="H10" i="10"/>
  <c r="D14" i="10"/>
  <c r="Z14" i="10" s="1"/>
  <c r="D10" i="10"/>
  <c r="Z10" i="10" s="1"/>
  <c r="K14" i="10"/>
  <c r="K10" i="10"/>
  <c r="O14" i="10"/>
  <c r="O10" i="10"/>
  <c r="S6" i="10"/>
  <c r="X17" i="10"/>
  <c r="X16" i="10"/>
  <c r="X15" i="10"/>
  <c r="X14" i="10"/>
  <c r="X13" i="10"/>
  <c r="X12" i="10"/>
  <c r="X11" i="10"/>
  <c r="X10" i="10"/>
  <c r="X9" i="10"/>
  <c r="X8" i="10"/>
  <c r="X7" i="10"/>
  <c r="W5" i="10"/>
  <c r="U5" i="10"/>
  <c r="R5" i="10"/>
  <c r="N5" i="10"/>
  <c r="I5" i="10"/>
  <c r="C5" i="10"/>
  <c r="AB17" i="10" l="1"/>
  <c r="AC16" i="10"/>
  <c r="AD16" i="10"/>
  <c r="AD15" i="10"/>
  <c r="AA14" i="10"/>
  <c r="AB11" i="10"/>
  <c r="AA8" i="10"/>
  <c r="AA7" i="10"/>
  <c r="AA13" i="10"/>
  <c r="AB7" i="10"/>
  <c r="AC8" i="10"/>
  <c r="AB8" i="10"/>
  <c r="AC14" i="10"/>
  <c r="AD14" i="10"/>
  <c r="AD7" i="10"/>
  <c r="AD10" i="10"/>
  <c r="AB9" i="10"/>
  <c r="AD9" i="10"/>
  <c r="AD12" i="10"/>
  <c r="AC11" i="10"/>
  <c r="AA11" i="10"/>
  <c r="AC9" i="10"/>
  <c r="AA6" i="10"/>
  <c r="AD8" i="10"/>
  <c r="AA12" i="10"/>
  <c r="AD6" i="10"/>
  <c r="Z5" i="10"/>
  <c r="Z18" i="10"/>
  <c r="AC10" i="10"/>
  <c r="AB15" i="10"/>
  <c r="AC13" i="10"/>
  <c r="AC12" i="10"/>
  <c r="AB10" i="10"/>
  <c r="AD11" i="10"/>
  <c r="AC15" i="10"/>
  <c r="AB13" i="10"/>
  <c r="AD13" i="10"/>
  <c r="AA16" i="10"/>
  <c r="AB12" i="10"/>
  <c r="AA9" i="10"/>
  <c r="AA10" i="10"/>
  <c r="AB14" i="10"/>
  <c r="AC7" i="10"/>
  <c r="AD17" i="10"/>
  <c r="AC6" i="10"/>
  <c r="AB6" i="10"/>
  <c r="AC17" i="10"/>
  <c r="AB16" i="10"/>
  <c r="AA17" i="10"/>
  <c r="K18" i="10"/>
  <c r="G18" i="10"/>
  <c r="J18" i="10"/>
  <c r="S18" i="10"/>
  <c r="L18" i="10"/>
  <c r="Q18" i="10"/>
  <c r="F18" i="10"/>
  <c r="V18" i="10"/>
  <c r="O18" i="10"/>
  <c r="T18" i="10"/>
  <c r="X5" i="10"/>
  <c r="H18" i="10"/>
  <c r="P18" i="10"/>
  <c r="M18" i="10"/>
  <c r="E18" i="10"/>
  <c r="D18" i="10"/>
  <c r="X18" i="10"/>
  <c r="A4" i="3"/>
  <c r="A5" i="3"/>
  <c r="A6" i="3"/>
  <c r="A8" i="3"/>
  <c r="A9" i="3"/>
  <c r="A10" i="3"/>
  <c r="A11" i="3"/>
  <c r="A12" i="3"/>
  <c r="A13" i="3"/>
  <c r="A7" i="3"/>
  <c r="K5" i="3"/>
  <c r="L5" i="3"/>
  <c r="M5" i="3"/>
  <c r="N5" i="3"/>
  <c r="O5" i="3"/>
  <c r="K6" i="3"/>
  <c r="L6" i="3"/>
  <c r="M6" i="3"/>
  <c r="N6" i="3"/>
  <c r="O6" i="3"/>
  <c r="K7" i="3"/>
  <c r="L7" i="3"/>
  <c r="M7" i="3"/>
  <c r="N7" i="3"/>
  <c r="O7" i="3"/>
  <c r="K8" i="3"/>
  <c r="L8" i="3"/>
  <c r="M8" i="3"/>
  <c r="N8" i="3"/>
  <c r="O8" i="3"/>
  <c r="K9" i="3"/>
  <c r="L9" i="3"/>
  <c r="M9" i="3"/>
  <c r="N9" i="3"/>
  <c r="O9" i="3"/>
  <c r="K10" i="3"/>
  <c r="L10" i="3"/>
  <c r="M10" i="3"/>
  <c r="N10" i="3"/>
  <c r="O10" i="3"/>
  <c r="K11" i="3"/>
  <c r="L11" i="3"/>
  <c r="M11" i="3"/>
  <c r="N11" i="3"/>
  <c r="O11" i="3"/>
  <c r="K12" i="3"/>
  <c r="L12" i="3"/>
  <c r="M12" i="3"/>
  <c r="N12" i="3"/>
  <c r="O12" i="3"/>
  <c r="K13" i="3"/>
  <c r="L13" i="3"/>
  <c r="M13" i="3"/>
  <c r="N13" i="3"/>
  <c r="O13" i="3"/>
  <c r="L4" i="3"/>
  <c r="M4" i="3"/>
  <c r="N4" i="3"/>
  <c r="O4" i="3"/>
  <c r="AE8" i="10" l="1"/>
  <c r="AF8" i="10" s="1"/>
  <c r="AE15" i="10"/>
  <c r="AF15" i="10" s="1"/>
  <c r="AE17" i="10"/>
  <c r="AF17" i="10" s="1"/>
  <c r="AE14" i="10"/>
  <c r="AF14" i="10" s="1"/>
  <c r="AE11" i="10"/>
  <c r="AF11" i="10" s="1"/>
  <c r="AE9" i="10"/>
  <c r="AF9" i="10" s="1"/>
  <c r="AE12" i="10"/>
  <c r="AF12" i="10" s="1"/>
  <c r="AE7" i="10"/>
  <c r="AF7" i="10" s="1"/>
  <c r="AE10" i="10"/>
  <c r="AF10" i="10" s="1"/>
  <c r="AA5" i="10"/>
  <c r="AE13" i="10"/>
  <c r="AF13" i="10" s="1"/>
  <c r="AE16" i="10"/>
  <c r="AF16" i="10" s="1"/>
  <c r="AB5" i="10"/>
  <c r="AB18" i="10"/>
  <c r="AA18" i="10"/>
  <c r="AE6" i="10"/>
  <c r="AC18" i="10"/>
  <c r="AC5" i="10"/>
  <c r="AD5" i="10"/>
  <c r="AD18" i="10"/>
  <c r="D8" i="6"/>
  <c r="D12" i="6"/>
  <c r="C8" i="5"/>
  <c r="F10" i="6"/>
  <c r="G10" i="6"/>
  <c r="H10" i="6"/>
  <c r="D10" i="6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I13" i="1"/>
  <c r="I12" i="1"/>
  <c r="I11" i="1"/>
  <c r="I10" i="1"/>
  <c r="I9" i="1"/>
  <c r="I8" i="1"/>
  <c r="I7" i="1"/>
  <c r="I6" i="1"/>
  <c r="J5" i="1"/>
  <c r="K5" i="1"/>
  <c r="L5" i="1"/>
  <c r="M5" i="1"/>
  <c r="J4" i="1"/>
  <c r="K4" i="1"/>
  <c r="L4" i="1"/>
  <c r="M4" i="1"/>
  <c r="E20" i="6"/>
  <c r="F20" i="6"/>
  <c r="G20" i="6"/>
  <c r="H20" i="6"/>
  <c r="D20" i="6"/>
  <c r="E19" i="6"/>
  <c r="F19" i="6"/>
  <c r="G19" i="6"/>
  <c r="H19" i="6"/>
  <c r="D19" i="6"/>
  <c r="I14" i="1" l="1"/>
  <c r="C4" i="5" s="1"/>
  <c r="E8" i="6"/>
  <c r="E12" i="6"/>
  <c r="D8" i="5"/>
  <c r="F8" i="6"/>
  <c r="F12" i="6"/>
  <c r="E8" i="5"/>
  <c r="F8" i="5"/>
  <c r="G8" i="6"/>
  <c r="G12" i="6"/>
  <c r="H12" i="6"/>
  <c r="G8" i="5"/>
  <c r="H8" i="6"/>
  <c r="AF6" i="10"/>
  <c r="AF5" i="10" s="1"/>
  <c r="AF18" i="10" s="1"/>
  <c r="H17" i="6" s="1"/>
  <c r="AE5" i="10"/>
  <c r="AE18" i="10" s="1"/>
  <c r="L14" i="1"/>
  <c r="K14" i="1"/>
  <c r="M14" i="1"/>
  <c r="J14" i="1"/>
  <c r="C17" i="2"/>
  <c r="D12" i="5"/>
  <c r="E12" i="5"/>
  <c r="F12" i="5"/>
  <c r="G12" i="5"/>
  <c r="C12" i="5"/>
  <c r="C21" i="4"/>
  <c r="F21" i="4"/>
  <c r="E10" i="5" s="1"/>
  <c r="F17" i="4"/>
  <c r="E17" i="4"/>
  <c r="H17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H5" i="4"/>
  <c r="G5" i="4"/>
  <c r="F5" i="4"/>
  <c r="E5" i="4"/>
  <c r="D6" i="4"/>
  <c r="D7" i="4"/>
  <c r="D8" i="4"/>
  <c r="D9" i="4"/>
  <c r="D10" i="4"/>
  <c r="D11" i="4"/>
  <c r="D12" i="4"/>
  <c r="D13" i="4"/>
  <c r="D14" i="4"/>
  <c r="D15" i="4"/>
  <c r="D16" i="4"/>
  <c r="D5" i="4"/>
  <c r="H7" i="3"/>
  <c r="H8" i="3"/>
  <c r="H9" i="3"/>
  <c r="H10" i="3"/>
  <c r="H11" i="3"/>
  <c r="H12" i="3"/>
  <c r="H13" i="3"/>
  <c r="H21" i="4"/>
  <c r="G10" i="5" s="1"/>
  <c r="B10" i="3"/>
  <c r="C10" i="3"/>
  <c r="B11" i="3"/>
  <c r="C11" i="3"/>
  <c r="B12" i="3"/>
  <c r="C12" i="3"/>
  <c r="B13" i="3"/>
  <c r="C13" i="3"/>
  <c r="B4" i="3"/>
  <c r="O14" i="3"/>
  <c r="N14" i="3"/>
  <c r="M14" i="3"/>
  <c r="L14" i="3"/>
  <c r="K14" i="3"/>
  <c r="H14" i="1"/>
  <c r="G14" i="1"/>
  <c r="F14" i="1"/>
  <c r="E14" i="1"/>
  <c r="D14" i="1"/>
  <c r="I28" i="2"/>
  <c r="I27" i="2"/>
  <c r="I26" i="2"/>
  <c r="I25" i="2"/>
  <c r="I23" i="2"/>
  <c r="I22" i="2"/>
  <c r="I21" i="2"/>
  <c r="I20" i="2"/>
  <c r="I19" i="2"/>
  <c r="I18" i="2"/>
  <c r="I16" i="2"/>
  <c r="I15" i="2"/>
  <c r="I14" i="2"/>
  <c r="I13" i="2"/>
  <c r="I12" i="2"/>
  <c r="I10" i="2"/>
  <c r="I9" i="2"/>
  <c r="I8" i="2"/>
  <c r="I7" i="2"/>
  <c r="E14" i="6"/>
  <c r="F14" i="6"/>
  <c r="G14" i="6"/>
  <c r="H14" i="6"/>
  <c r="D14" i="6"/>
  <c r="D16" i="6" l="1"/>
  <c r="C29" i="2"/>
  <c r="G4" i="4"/>
  <c r="G7" i="6" s="1"/>
  <c r="E16" i="6"/>
  <c r="H16" i="6"/>
  <c r="G16" i="6"/>
  <c r="F16" i="6"/>
  <c r="I4" i="2"/>
  <c r="D12" i="3"/>
  <c r="I10" i="3"/>
  <c r="J10" i="3" s="1"/>
  <c r="D10" i="3"/>
  <c r="D13" i="3"/>
  <c r="D11" i="3"/>
  <c r="P12" i="3"/>
  <c r="S12" i="3"/>
  <c r="R12" i="3"/>
  <c r="Q12" i="3"/>
  <c r="T12" i="3"/>
  <c r="S8" i="3"/>
  <c r="Q8" i="3"/>
  <c r="T8" i="3"/>
  <c r="P8" i="3"/>
  <c r="R8" i="3"/>
  <c r="P11" i="3"/>
  <c r="R11" i="3"/>
  <c r="Q11" i="3"/>
  <c r="S11" i="3"/>
  <c r="T11" i="3"/>
  <c r="P7" i="3"/>
  <c r="Q7" i="3"/>
  <c r="S7" i="3"/>
  <c r="T7" i="3"/>
  <c r="R7" i="3"/>
  <c r="Q10" i="3"/>
  <c r="R10" i="3"/>
  <c r="T10" i="3"/>
  <c r="S10" i="3"/>
  <c r="P10" i="3"/>
  <c r="Q13" i="3"/>
  <c r="P13" i="3"/>
  <c r="S13" i="3"/>
  <c r="T13" i="3"/>
  <c r="R13" i="3"/>
  <c r="Q9" i="3"/>
  <c r="T9" i="3"/>
  <c r="R9" i="3"/>
  <c r="S9" i="3"/>
  <c r="P9" i="3"/>
  <c r="D4" i="6"/>
  <c r="H4" i="6"/>
  <c r="G4" i="5"/>
  <c r="F4" i="6"/>
  <c r="E4" i="5"/>
  <c r="E4" i="6"/>
  <c r="D4" i="5"/>
  <c r="G4" i="6"/>
  <c r="F4" i="5"/>
  <c r="H6" i="3"/>
  <c r="I6" i="3" s="1"/>
  <c r="J6" i="3" s="1"/>
  <c r="H5" i="3"/>
  <c r="I5" i="3" s="1"/>
  <c r="J5" i="3" s="1"/>
  <c r="F4" i="4"/>
  <c r="F7" i="6" s="1"/>
  <c r="C16" i="6"/>
  <c r="C18" i="6" s="1"/>
  <c r="C21" i="6" s="1"/>
  <c r="I17" i="2"/>
  <c r="I24" i="2"/>
  <c r="I11" i="3"/>
  <c r="J11" i="3" s="1"/>
  <c r="I7" i="3"/>
  <c r="J7" i="3" s="1"/>
  <c r="I12" i="3"/>
  <c r="J12" i="3" s="1"/>
  <c r="I8" i="3"/>
  <c r="J8" i="3" s="1"/>
  <c r="G17" i="4"/>
  <c r="D21" i="4"/>
  <c r="C10" i="5" s="1"/>
  <c r="G21" i="4"/>
  <c r="F10" i="5" s="1"/>
  <c r="H4" i="4"/>
  <c r="E4" i="4"/>
  <c r="D17" i="4"/>
  <c r="D4" i="4"/>
  <c r="I13" i="3"/>
  <c r="J13" i="3" s="1"/>
  <c r="I9" i="3"/>
  <c r="J9" i="3" s="1"/>
  <c r="F7" i="5" l="1"/>
  <c r="J4" i="3"/>
  <c r="J14" i="3" s="1"/>
  <c r="Q4" i="3"/>
  <c r="D14" i="3"/>
  <c r="I29" i="2"/>
  <c r="C22" i="6"/>
  <c r="T6" i="3"/>
  <c r="S6" i="3"/>
  <c r="R6" i="3"/>
  <c r="Q6" i="3"/>
  <c r="P6" i="3"/>
  <c r="R5" i="3"/>
  <c r="Q5" i="3"/>
  <c r="T5" i="3"/>
  <c r="P5" i="3"/>
  <c r="S5" i="3"/>
  <c r="T4" i="3"/>
  <c r="R4" i="3"/>
  <c r="S4" i="3"/>
  <c r="E7" i="5"/>
  <c r="F24" i="4"/>
  <c r="E7" i="6"/>
  <c r="D7" i="5"/>
  <c r="H24" i="4"/>
  <c r="H7" i="6"/>
  <c r="G7" i="5"/>
  <c r="D7" i="6"/>
  <c r="C7" i="5"/>
  <c r="G24" i="4"/>
  <c r="D24" i="4"/>
  <c r="T14" i="3" l="1"/>
  <c r="G5" i="5" s="1"/>
  <c r="G6" i="5" s="1"/>
  <c r="C4" i="7"/>
  <c r="R14" i="3"/>
  <c r="E5" i="5" s="1"/>
  <c r="E6" i="5" s="1"/>
  <c r="Q14" i="3"/>
  <c r="D5" i="5" s="1"/>
  <c r="D6" i="5" s="1"/>
  <c r="S14" i="3"/>
  <c r="F5" i="5" s="1"/>
  <c r="F6" i="5" s="1"/>
  <c r="P14" i="3"/>
  <c r="C5" i="5" s="1"/>
  <c r="C6" i="5" s="1"/>
  <c r="C9" i="5" l="1"/>
  <c r="C11" i="5" s="1"/>
  <c r="C13" i="5" s="1"/>
  <c r="F5" i="6"/>
  <c r="F6" i="6" s="1"/>
  <c r="F9" i="6" s="1"/>
  <c r="F11" i="6" s="1"/>
  <c r="F13" i="6" s="1"/>
  <c r="F15" i="6" s="1"/>
  <c r="F18" i="6" s="1"/>
  <c r="F21" i="6" s="1"/>
  <c r="D5" i="6"/>
  <c r="D6" i="6" s="1"/>
  <c r="D9" i="6" s="1"/>
  <c r="D11" i="6" s="1"/>
  <c r="G5" i="6"/>
  <c r="G6" i="6" s="1"/>
  <c r="G9" i="6" s="1"/>
  <c r="G11" i="6" s="1"/>
  <c r="G13" i="6" s="1"/>
  <c r="G15" i="6" s="1"/>
  <c r="E5" i="6"/>
  <c r="E6" i="6" s="1"/>
  <c r="E9" i="6" s="1"/>
  <c r="H5" i="6"/>
  <c r="H6" i="6" s="1"/>
  <c r="H9" i="6" s="1"/>
  <c r="H11" i="6" s="1"/>
  <c r="H13" i="6" s="1"/>
  <c r="H15" i="6" s="1"/>
  <c r="D9" i="5"/>
  <c r="E9" i="5"/>
  <c r="E11" i="5" s="1"/>
  <c r="E13" i="5" s="1"/>
  <c r="D13" i="6" l="1"/>
  <c r="D15" i="6" s="1"/>
  <c r="D18" i="6" s="1"/>
  <c r="D21" i="6" s="1"/>
  <c r="G18" i="6"/>
  <c r="G21" i="6" s="1"/>
  <c r="F9" i="5"/>
  <c r="F11" i="5" s="1"/>
  <c r="F13" i="5" s="1"/>
  <c r="D22" i="6" l="1"/>
  <c r="G9" i="5"/>
  <c r="G11" i="5" s="1"/>
  <c r="G13" i="5" s="1"/>
  <c r="H18" i="6"/>
  <c r="H21" i="6" s="1"/>
  <c r="D24" i="6" s="1"/>
  <c r="E21" i="4"/>
  <c r="D10" i="5" s="1"/>
  <c r="D11" i="5" s="1"/>
  <c r="D13" i="5" s="1"/>
  <c r="E10" i="6"/>
  <c r="E11" i="6" s="1"/>
  <c r="E13" i="6" s="1"/>
  <c r="E15" i="6" s="1"/>
  <c r="E18" i="6" l="1"/>
  <c r="E21" i="6" s="1"/>
  <c r="E24" i="4"/>
  <c r="C6" i="7" l="1"/>
  <c r="C7" i="7"/>
  <c r="C8" i="7"/>
  <c r="E22" i="6"/>
  <c r="F22" i="6" s="1"/>
  <c r="G22" i="6" s="1"/>
  <c r="H22" i="6" s="1"/>
  <c r="C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SERVIDOR</author>
  </authors>
  <commentList>
    <comment ref="C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SERVIDOR:</t>
        </r>
        <r>
          <rPr>
            <sz val="9"/>
            <color indexed="81"/>
            <rFont val="Tahoma"/>
            <family val="2"/>
          </rPr>
          <t xml:space="preserve">
APORTE DE CADA MIEMBRO</t>
        </r>
      </text>
    </comment>
  </commentList>
</comments>
</file>

<file path=xl/sharedStrings.xml><?xml version="1.0" encoding="utf-8"?>
<sst xmlns="http://schemas.openxmlformats.org/spreadsheetml/2006/main" count="293" uniqueCount="187">
  <si>
    <t>Producto</t>
  </si>
  <si>
    <t>Unidad de medida</t>
  </si>
  <si>
    <t>Cantidad año 1</t>
  </si>
  <si>
    <t>Cantidad año 2</t>
  </si>
  <si>
    <t>Cantidad año 4</t>
  </si>
  <si>
    <t>Total Ventas</t>
  </si>
  <si>
    <t>Total</t>
  </si>
  <si>
    <t>Vida útil contable (en años) </t>
  </si>
  <si>
    <t>Año 0</t>
  </si>
  <si>
    <t xml:space="preserve"> Año 1</t>
  </si>
  <si>
    <t>Año 2</t>
  </si>
  <si>
    <t>Año 3</t>
  </si>
  <si>
    <t>Año 4</t>
  </si>
  <si>
    <t>Año 5</t>
  </si>
  <si>
    <t>Inversión</t>
  </si>
  <si>
    <t>Activos Tangibles</t>
  </si>
  <si>
    <t>Activos Intangibles</t>
  </si>
  <si>
    <t>Capital de trabajo</t>
  </si>
  <si>
    <t>Total Inversiones</t>
  </si>
  <si>
    <t>N/A</t>
  </si>
  <si>
    <t>…</t>
  </si>
  <si>
    <t>PRESUPUESTO DE INVERSIONES</t>
  </si>
  <si>
    <t>PRESUPUESTO DE VENTAS</t>
  </si>
  <si>
    <t xml:space="preserve"> Año 0</t>
  </si>
  <si>
    <t>Ventas año 1</t>
  </si>
  <si>
    <t>Ventas año 2</t>
  </si>
  <si>
    <t>Ventas año 4</t>
  </si>
  <si>
    <t>Precio por unidad</t>
  </si>
  <si>
    <t>Precio de venta unitario</t>
  </si>
  <si>
    <t>Costo variable unitario</t>
  </si>
  <si>
    <t>Márgen de Contribución Unitario</t>
  </si>
  <si>
    <t>Costo de Producción unitario</t>
  </si>
  <si>
    <t>Costo de Venta unitario</t>
  </si>
  <si>
    <t>Costos Variables año 1</t>
  </si>
  <si>
    <t>Costos Variables año 2</t>
  </si>
  <si>
    <t>Costos Variables año 3</t>
  </si>
  <si>
    <t>Costos Variables año 4</t>
  </si>
  <si>
    <t>Costos Variables año 5</t>
  </si>
  <si>
    <t>Gastos de Administración</t>
  </si>
  <si>
    <t>Gastos de Financiación</t>
  </si>
  <si>
    <t>Impuestos</t>
  </si>
  <si>
    <t>Impuestos de Venta directos</t>
  </si>
  <si>
    <t>Costo mensual</t>
  </si>
  <si>
    <t>Sueldos y Salarios</t>
  </si>
  <si>
    <t>Beneficios del personal</t>
  </si>
  <si>
    <t>Otros impuestos</t>
  </si>
  <si>
    <t>Alquileres</t>
  </si>
  <si>
    <t>Servicios Básicos</t>
  </si>
  <si>
    <t>Servicios profesionales contratados</t>
  </si>
  <si>
    <t>Viajes y transporte</t>
  </si>
  <si>
    <t>Material de oficina</t>
  </si>
  <si>
    <t>Otros materiales</t>
  </si>
  <si>
    <t>Gastos indirectos de comercialización</t>
  </si>
  <si>
    <t>Amortización a capital por préstamos</t>
  </si>
  <si>
    <t>Intereses de préstamos</t>
  </si>
  <si>
    <t>Otros gastos financieros</t>
  </si>
  <si>
    <t>ESTADO DE RESULTADOS SIMPLIFICADO</t>
  </si>
  <si>
    <t>Cuenta</t>
  </si>
  <si>
    <t>Ventas brutas</t>
  </si>
  <si>
    <t>Costos variables</t>
  </si>
  <si>
    <t>Utilidad Bruta / Márgen Bruto</t>
  </si>
  <si>
    <t>Gastos administrativos</t>
  </si>
  <si>
    <t>Utilidad Operativa / Márgen Operativo (EBIT)</t>
  </si>
  <si>
    <t>Impuestos a la renta / utilidad</t>
  </si>
  <si>
    <t>Utilidad Neta después de impuestos (NOPAT)</t>
  </si>
  <si>
    <t>Gastos financieros/intereses</t>
  </si>
  <si>
    <t>Utilidad Neta / Resultado del Ejercicio</t>
  </si>
  <si>
    <t>Año 1</t>
  </si>
  <si>
    <t>Depreciación de Activos Fijos</t>
  </si>
  <si>
    <t>+</t>
  </si>
  <si>
    <t>-</t>
  </si>
  <si>
    <t>=</t>
  </si>
  <si>
    <t>FLUJO DE EFECTIVO SIMPLIFICADO</t>
  </si>
  <si>
    <t>Flujo de Efectivo Bruto \ Cash Flow</t>
  </si>
  <si>
    <t>Flujo de Efectivo Operativo \ Operating Cash Flow</t>
  </si>
  <si>
    <t xml:space="preserve">Valor de Rescate (liquidación)  de Activos Fijos </t>
  </si>
  <si>
    <t>Flujo de Efectivo Neto \ Flujo Efectivo Económico \ Net Cash Flow</t>
  </si>
  <si>
    <t>Costos Financieros \ intereses</t>
  </si>
  <si>
    <t>Pago de préstamos</t>
  </si>
  <si>
    <t>Flujo de Efectivo Libre \ Flujo de Efectivo Financiero \ Free Cash Flow</t>
  </si>
  <si>
    <t>Inversiones en Activo Fijo y Activo Intangible</t>
  </si>
  <si>
    <t>Inversión en Capital Operativo \ Capital de Trabajo</t>
  </si>
  <si>
    <t>Valor</t>
  </si>
  <si>
    <t>Referencia</t>
  </si>
  <si>
    <t>Indicador</t>
  </si>
  <si>
    <t>VAN</t>
  </si>
  <si>
    <t>TIR</t>
  </si>
  <si>
    <t>Valor Actual Neto</t>
  </si>
  <si>
    <t>Tasa Interna de Retorno</t>
  </si>
  <si>
    <t>Tasa de Descuento \ Interés</t>
  </si>
  <si>
    <t>i (desc)</t>
  </si>
  <si>
    <t>TIR &gt; i (desc) = proyecto aceptable</t>
  </si>
  <si>
    <t>B/C</t>
  </si>
  <si>
    <t>VAN &gt; 0.00 = proyecto aceptable</t>
  </si>
  <si>
    <t>B/C &gt; 1.00 = proyecto aceptable</t>
  </si>
  <si>
    <t>TRK</t>
  </si>
  <si>
    <t>Pto. Eq.</t>
  </si>
  <si>
    <t>Punto de Equilibrio</t>
  </si>
  <si>
    <t>Total Costos Fijos</t>
  </si>
  <si>
    <t>PRESUPUESTO DE COSTOS FIJOS</t>
  </si>
  <si>
    <t>PRESUPUESTO DE COSTOS VARIABLES</t>
  </si>
  <si>
    <t>Tasa de interés a la que se descuentan flujos proyectados</t>
  </si>
  <si>
    <t>Índice Beneficio / Costo</t>
  </si>
  <si>
    <t>Tiempo de Recuperación del Capital</t>
  </si>
  <si>
    <t>Flujo Libre acumuplado (para TRK)</t>
  </si>
  <si>
    <t>Año durante el cual se recupera la inversión inicial (Flujo Acumulado &gt; 0)</t>
  </si>
  <si>
    <t>Equipos de computación</t>
  </si>
  <si>
    <t>Muebles de oficina</t>
  </si>
  <si>
    <t>Otros muebles y enseres</t>
  </si>
  <si>
    <t>Licencias y permisos</t>
  </si>
  <si>
    <t>Capital de trabajo inicial</t>
  </si>
  <si>
    <t>Patentes</t>
  </si>
  <si>
    <t>Equipos de telecomunicación</t>
  </si>
  <si>
    <t>Máquinas y repuestos</t>
  </si>
  <si>
    <t>Equipamiento de trabajo</t>
  </si>
  <si>
    <t>Equipamiento de seguridad</t>
  </si>
  <si>
    <t>Refacciones y obras civiles</t>
  </si>
  <si>
    <t>Vehículos de distribución</t>
  </si>
  <si>
    <t>Volumen de ventas en el que se logran cubrir todos los costos (fijos y variables)</t>
  </si>
  <si>
    <t>Precio Venta ponderado por vol ventas</t>
  </si>
  <si>
    <t>Márgen contribución ponderado por vol ventas</t>
  </si>
  <si>
    <t>Se deben llenar únicamente las casillas verdes.</t>
  </si>
  <si>
    <t>Se recomienda completar las hojas de izquierda a derecha.</t>
  </si>
  <si>
    <t>Las casillas blancas se calculan automáticamente, es recomendable no modificarlas.</t>
  </si>
  <si>
    <t>Las casillas grises pueden modificarse manualmente, pero por lo general no deben contener valores.</t>
  </si>
  <si>
    <t>Esta plantilla es útil para evaluar proyectos de inversión con fines de lucro con un horizonte de planificación de 5 años.</t>
  </si>
  <si>
    <t>Proyectos sin fines de lucro o con un horizonte de planificación diferentes no deben evaluarse con esta plantilla.</t>
  </si>
  <si>
    <t>INSTRUCCIONES</t>
  </si>
  <si>
    <t>Se recomienda no ampliar las tablas pues esto afectará las fórmulas de la plantilla.</t>
  </si>
  <si>
    <t>Si se prevee que alguna tabla no cuenta con el espacio suficiente para listar todos los productos o cuentas se recomienda agrupar elementos similares.</t>
  </si>
  <si>
    <t>Su difusión está restringida a alumnos que cursen algún programa de FUNIBER.</t>
  </si>
  <si>
    <t>Este archivo es porpiedad de la Fundación Universitaria Iberoamericana (FUNIBER) y NO debe emplearse para fines distintos a los estríctamente académicos.</t>
  </si>
  <si>
    <t>Si la moneda en la que se expresan los valores es muy grande se sugiere expresar los valores en miles.</t>
  </si>
  <si>
    <t>USO Y DIFUSIÓN</t>
  </si>
  <si>
    <t>APLICABILIDAD</t>
  </si>
  <si>
    <t>LLENADO DE LA PLANTILLA</t>
  </si>
  <si>
    <t>Total Depreciaciones</t>
  </si>
  <si>
    <t>Depreciación al año 1</t>
  </si>
  <si>
    <t>Depreciación al año 2</t>
  </si>
  <si>
    <t>Depreciación al año 3</t>
  </si>
  <si>
    <t>Depreciación al año 4</t>
  </si>
  <si>
    <t>Depreciación al año 5</t>
  </si>
  <si>
    <t>Activos comprados el Año 0</t>
  </si>
  <si>
    <t>Activos comprados el Año 5</t>
  </si>
  <si>
    <t>Activos comprados el Año 4</t>
  </si>
  <si>
    <t>Activos comprados el Año 3</t>
  </si>
  <si>
    <t>Activos comprados el Año 2</t>
  </si>
  <si>
    <t>Activos comprados el Año 1</t>
  </si>
  <si>
    <t>Depreciación acumulada Total (cierre año 5)</t>
  </si>
  <si>
    <t>Depreciación anual (cierre año 5)</t>
  </si>
  <si>
    <t>Depreciación anual (cierre año 4)</t>
  </si>
  <si>
    <t>Depreciación anual (cierre año 3)</t>
  </si>
  <si>
    <t>Depreciación anual (cierre año 2)</t>
  </si>
  <si>
    <t>Depreciación anual (cierre año 1)</t>
  </si>
  <si>
    <t>Valor de rescate (residual)</t>
  </si>
  <si>
    <t>DEPRECIACIÓN DE INVERSIONES EN ACTIVOS FIJOS</t>
  </si>
  <si>
    <t xml:space="preserve">Terreno </t>
  </si>
  <si>
    <t xml:space="preserve">Sistema de sonido </t>
  </si>
  <si>
    <t>Terreno</t>
  </si>
  <si>
    <t>Sisteme de sonido</t>
  </si>
  <si>
    <t xml:space="preserve">boleteria </t>
  </si>
  <si>
    <t xml:space="preserve">arrendamiento </t>
  </si>
  <si>
    <t>merchandising</t>
  </si>
  <si>
    <t>publicidad x spot</t>
  </si>
  <si>
    <t>publicidad dentro establecimiento</t>
  </si>
  <si>
    <t xml:space="preserve">unidad  </t>
  </si>
  <si>
    <t>Vendedores x2</t>
  </si>
  <si>
    <t>Seguridad x2</t>
  </si>
  <si>
    <t>Administrador</t>
  </si>
  <si>
    <t>Portero</t>
  </si>
  <si>
    <t>Aseo x3</t>
  </si>
  <si>
    <t>Porcentaje</t>
  </si>
  <si>
    <r>
      <t>Cantidad año 3</t>
    </r>
    <r>
      <rPr>
        <sz val="11"/>
        <rFont val="Cambria"/>
        <family val="1"/>
        <scheme val="major"/>
      </rPr>
      <t> </t>
    </r>
  </si>
  <si>
    <r>
      <t>Cantidad año 5</t>
    </r>
    <r>
      <rPr>
        <sz val="11"/>
        <rFont val="Cambria"/>
        <family val="1"/>
        <scheme val="major"/>
      </rPr>
      <t> </t>
    </r>
  </si>
  <si>
    <r>
      <t>Ventas año 3</t>
    </r>
    <r>
      <rPr>
        <sz val="11"/>
        <rFont val="Cambria"/>
        <family val="1"/>
        <scheme val="major"/>
      </rPr>
      <t> </t>
    </r>
  </si>
  <si>
    <r>
      <t>Ventas año 5</t>
    </r>
    <r>
      <rPr>
        <sz val="11"/>
        <rFont val="Cambria"/>
        <family val="1"/>
        <scheme val="major"/>
      </rPr>
      <t> </t>
    </r>
  </si>
  <si>
    <t>Total salarios</t>
  </si>
  <si>
    <t>boleteria + snacks</t>
  </si>
  <si>
    <t>Refacciones y obras civiles montaje</t>
  </si>
  <si>
    <t>cost pcc</t>
  </si>
  <si>
    <t xml:space="preserve">papel </t>
  </si>
  <si>
    <t xml:space="preserve">mano obra </t>
  </si>
  <si>
    <t xml:space="preserve">servicios </t>
  </si>
  <si>
    <t>arrendamiento</t>
  </si>
  <si>
    <t>ganancia 30%</t>
  </si>
  <si>
    <t>distribucion</t>
  </si>
  <si>
    <t>Muebles de oficina 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</si>
</sst>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 little sunshine"/>
    </font>
    <font>
      <b/>
      <sz val="20"/>
      <color theme="1"/>
      <name val="A little sunshine"/>
    </font>
    <font>
      <b/>
      <sz val="22"/>
      <color theme="1"/>
      <name val="A little sunshine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26"/>
      <color theme="1"/>
      <name val="A little sunshine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Font="1" applyBorder="1"/>
    <xf numFmtId="164" fontId="2" fillId="0" borderId="1" xfId="1" applyFont="1" applyBorder="1"/>
    <xf numFmtId="164" fontId="0" fillId="3" borderId="1" xfId="1" applyFont="1" applyFill="1" applyBorder="1"/>
    <xf numFmtId="164" fontId="0" fillId="0" borderId="1" xfId="1" applyFont="1" applyFill="1" applyBorder="1"/>
    <xf numFmtId="164" fontId="0" fillId="0" borderId="0" xfId="1" applyFont="1"/>
    <xf numFmtId="164" fontId="1" fillId="0" borderId="1" xfId="1" applyFont="1" applyBorder="1"/>
    <xf numFmtId="0" fontId="2" fillId="4" borderId="1" xfId="0" applyFont="1" applyFill="1" applyBorder="1"/>
    <xf numFmtId="164" fontId="2" fillId="0" borderId="1" xfId="1" applyFont="1" applyFill="1" applyBorder="1"/>
    <xf numFmtId="164" fontId="2" fillId="3" borderId="1" xfId="1" applyFont="1" applyFill="1" applyBorder="1"/>
    <xf numFmtId="164" fontId="4" fillId="0" borderId="1" xfId="1" applyFont="1" applyFill="1" applyBorder="1" applyAlignment="1">
      <alignment horizontal="justify" vertical="center" wrapText="1"/>
    </xf>
    <xf numFmtId="164" fontId="4" fillId="3" borderId="1" xfId="1" applyFont="1" applyFill="1" applyBorder="1" applyAlignment="1">
      <alignment horizontal="justify" vertical="center" wrapText="1"/>
    </xf>
    <xf numFmtId="9" fontId="4" fillId="0" borderId="1" xfId="2" applyFont="1" applyFill="1" applyBorder="1" applyAlignment="1">
      <alignment horizontal="right" vertical="center" wrapText="1"/>
    </xf>
    <xf numFmtId="0" fontId="0" fillId="0" borderId="0" xfId="0" quotePrefix="1"/>
    <xf numFmtId="164" fontId="0" fillId="5" borderId="1" xfId="1" applyFont="1" applyFill="1" applyBorder="1"/>
    <xf numFmtId="164" fontId="2" fillId="5" borderId="1" xfId="1" applyFont="1" applyFill="1" applyBorder="1"/>
    <xf numFmtId="0" fontId="3" fillId="2" borderId="1" xfId="0" applyFont="1" applyFill="1" applyBorder="1" applyAlignment="1">
      <alignment vertical="center" wrapText="1"/>
    </xf>
    <xf numFmtId="164" fontId="0" fillId="0" borderId="0" xfId="0" applyNumberFormat="1"/>
    <xf numFmtId="0" fontId="0" fillId="0" borderId="2" xfId="0" applyBorder="1"/>
    <xf numFmtId="0" fontId="4" fillId="3" borderId="1" xfId="0" applyFont="1" applyFill="1" applyBorder="1" applyAlignment="1">
      <alignment horizontal="justify" vertical="center" wrapText="1"/>
    </xf>
    <xf numFmtId="9" fontId="0" fillId="3" borderId="1" xfId="2" applyFont="1" applyFill="1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justify" vertical="center" wrapText="1"/>
    </xf>
    <xf numFmtId="164" fontId="0" fillId="0" borderId="1" xfId="1" applyFont="1" applyFill="1" applyBorder="1" applyAlignment="1">
      <alignment horizontal="right"/>
    </xf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2" fillId="0" borderId="3" xfId="0" applyFont="1" applyBorder="1"/>
    <xf numFmtId="0" fontId="0" fillId="0" borderId="3" xfId="0" applyBorder="1"/>
    <xf numFmtId="164" fontId="2" fillId="0" borderId="7" xfId="1" applyFont="1" applyBorder="1"/>
    <xf numFmtId="164" fontId="2" fillId="0" borderId="8" xfId="1" applyFont="1" applyFill="1" applyBorder="1"/>
    <xf numFmtId="164" fontId="0" fillId="0" borderId="8" xfId="1" applyFont="1" applyFill="1" applyBorder="1"/>
    <xf numFmtId="164" fontId="2" fillId="0" borderId="13" xfId="1" applyFont="1" applyBorder="1"/>
    <xf numFmtId="164" fontId="0" fillId="0" borderId="0" xfId="1" applyFont="1" applyBorder="1" applyAlignment="1">
      <alignment wrapText="1"/>
    </xf>
    <xf numFmtId="164" fontId="0" fillId="0" borderId="7" xfId="1" applyFont="1" applyFill="1" applyBorder="1"/>
    <xf numFmtId="164" fontId="0" fillId="0" borderId="13" xfId="1" applyFont="1" applyFill="1" applyBorder="1"/>
    <xf numFmtId="164" fontId="2" fillId="0" borderId="3" xfId="1" applyFont="1" applyBorder="1"/>
    <xf numFmtId="164" fontId="0" fillId="0" borderId="3" xfId="1" applyFont="1" applyFill="1" applyBorder="1"/>
    <xf numFmtId="165" fontId="0" fillId="0" borderId="0" xfId="0" applyNumberFormat="1"/>
    <xf numFmtId="43" fontId="0" fillId="0" borderId="0" xfId="0" applyNumberFormat="1"/>
    <xf numFmtId="41" fontId="0" fillId="0" borderId="0" xfId="3" applyFont="1"/>
    <xf numFmtId="41" fontId="0" fillId="0" borderId="1" xfId="3" applyFont="1" applyBorder="1"/>
    <xf numFmtId="10" fontId="0" fillId="0" borderId="1" xfId="2" applyNumberFormat="1" applyFont="1" applyBorder="1" applyAlignment="1">
      <alignment horizontal="right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1" applyFont="1" applyFill="1" applyBorder="1" applyAlignment="1">
      <alignment horizontal="center" vertical="center" wrapText="1"/>
    </xf>
    <xf numFmtId="0" fontId="11" fillId="6" borderId="1" xfId="0" applyFont="1" applyFill="1" applyBorder="1"/>
    <xf numFmtId="164" fontId="11" fillId="6" borderId="1" xfId="1" applyFont="1" applyFill="1" applyBorder="1"/>
    <xf numFmtId="0" fontId="11" fillId="0" borderId="1" xfId="0" applyFont="1" applyBorder="1"/>
    <xf numFmtId="0" fontId="12" fillId="0" borderId="1" xfId="0" applyFont="1" applyBorder="1"/>
    <xf numFmtId="164" fontId="11" fillId="0" borderId="1" xfId="1" applyFont="1" applyBorder="1"/>
    <xf numFmtId="164" fontId="2" fillId="6" borderId="7" xfId="1" applyFont="1" applyFill="1" applyBorder="1" applyAlignment="1">
      <alignment wrapText="1"/>
    </xf>
    <xf numFmtId="164" fontId="2" fillId="6" borderId="1" xfId="1" applyFont="1" applyFill="1" applyBorder="1" applyAlignment="1">
      <alignment horizontal="center" wrapText="1"/>
    </xf>
    <xf numFmtId="164" fontId="2" fillId="6" borderId="1" xfId="1" applyFont="1" applyFill="1" applyBorder="1" applyAlignment="1">
      <alignment wrapText="1"/>
    </xf>
    <xf numFmtId="164" fontId="2" fillId="6" borderId="8" xfId="1" applyFont="1" applyFill="1" applyBorder="1" applyAlignment="1">
      <alignment wrapText="1"/>
    </xf>
    <xf numFmtId="164" fontId="2" fillId="6" borderId="13" xfId="1" applyFont="1" applyFill="1" applyBorder="1" applyAlignment="1">
      <alignment wrapText="1"/>
    </xf>
    <xf numFmtId="164" fontId="2" fillId="6" borderId="15" xfId="1" applyFont="1" applyFill="1" applyBorder="1" applyAlignment="1">
      <alignment wrapText="1"/>
    </xf>
    <xf numFmtId="0" fontId="2" fillId="6" borderId="16" xfId="0" applyFont="1" applyFill="1" applyBorder="1" applyAlignment="1">
      <alignment wrapText="1"/>
    </xf>
    <xf numFmtId="0" fontId="2" fillId="6" borderId="18" xfId="0" applyFont="1" applyFill="1" applyBorder="1" applyAlignment="1">
      <alignment wrapText="1"/>
    </xf>
    <xf numFmtId="0" fontId="2" fillId="6" borderId="17" xfId="0" applyFont="1" applyFill="1" applyBorder="1" applyAlignment="1">
      <alignment wrapText="1"/>
    </xf>
    <xf numFmtId="164" fontId="2" fillId="6" borderId="12" xfId="1" applyFont="1" applyFill="1" applyBorder="1" applyAlignment="1">
      <alignment horizontal="center" wrapText="1"/>
    </xf>
    <xf numFmtId="0" fontId="2" fillId="6" borderId="3" xfId="0" applyFont="1" applyFill="1" applyBorder="1"/>
    <xf numFmtId="164" fontId="2" fillId="6" borderId="9" xfId="1" applyFont="1" applyFill="1" applyBorder="1"/>
    <xf numFmtId="164" fontId="2" fillId="6" borderId="10" xfId="1" applyFont="1" applyFill="1" applyBorder="1"/>
    <xf numFmtId="164" fontId="2" fillId="6" borderId="11" xfId="1" applyFont="1" applyFill="1" applyBorder="1"/>
    <xf numFmtId="164" fontId="2" fillId="6" borderId="14" xfId="1" applyFont="1" applyFill="1" applyBorder="1"/>
    <xf numFmtId="164" fontId="2" fillId="6" borderId="19" xfId="1" applyFont="1" applyFill="1" applyBorder="1"/>
    <xf numFmtId="0" fontId="13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9" fontId="11" fillId="0" borderId="1" xfId="1" applyNumberFormat="1" applyFont="1" applyBorder="1"/>
    <xf numFmtId="41" fontId="2" fillId="0" borderId="1" xfId="3" applyFont="1" applyBorder="1"/>
    <xf numFmtId="41" fontId="0" fillId="6" borderId="1" xfId="3" applyFont="1" applyFill="1" applyBorder="1"/>
    <xf numFmtId="0" fontId="17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43" fontId="0" fillId="6" borderId="1" xfId="0" applyNumberFormat="1" applyFill="1" applyBorder="1"/>
    <xf numFmtId="164" fontId="0" fillId="6" borderId="1" xfId="0" applyNumberFormat="1" applyFill="1" applyBorder="1"/>
    <xf numFmtId="0" fontId="11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164" fontId="2" fillId="6" borderId="4" xfId="1" applyFont="1" applyFill="1" applyBorder="1" applyAlignment="1">
      <alignment horizontal="center" wrapText="1"/>
    </xf>
    <xf numFmtId="164" fontId="2" fillId="6" borderId="6" xfId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4" fontId="2" fillId="6" borderId="5" xfId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A27"/>
  <sheetViews>
    <sheetView showGridLines="0" topLeftCell="A3" workbookViewId="0">
      <selection activeCell="E47" sqref="E47"/>
    </sheetView>
  </sheetViews>
  <sheetFormatPr baseColWidth="10" defaultColWidth="9.140625" defaultRowHeight="15"/>
  <sheetData>
    <row r="5" spans="1:1">
      <c r="A5" s="28" t="s">
        <v>127</v>
      </c>
    </row>
    <row r="6" spans="1:1">
      <c r="A6" s="28"/>
    </row>
    <row r="7" spans="1:1">
      <c r="A7" s="29" t="s">
        <v>133</v>
      </c>
    </row>
    <row r="8" spans="1:1">
      <c r="A8" s="28" t="s">
        <v>131</v>
      </c>
    </row>
    <row r="9" spans="1:1">
      <c r="A9" s="28" t="s">
        <v>130</v>
      </c>
    </row>
    <row r="11" spans="1:1">
      <c r="A11" s="29" t="s">
        <v>134</v>
      </c>
    </row>
    <row r="12" spans="1:1">
      <c r="A12" t="s">
        <v>125</v>
      </c>
    </row>
    <row r="13" spans="1:1">
      <c r="A13" t="s">
        <v>126</v>
      </c>
    </row>
    <row r="15" spans="1:1">
      <c r="A15" s="29" t="s">
        <v>135</v>
      </c>
    </row>
    <row r="16" spans="1:1">
      <c r="A16" t="s">
        <v>121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122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132</v>
      </c>
    </row>
    <row r="27" spans="1:1" ht="14.2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showGridLines="0" topLeftCell="A13" zoomScale="110" zoomScaleNormal="110" workbookViewId="0">
      <selection activeCell="D28" sqref="D28"/>
    </sheetView>
  </sheetViews>
  <sheetFormatPr baseColWidth="10" defaultColWidth="9.140625" defaultRowHeight="15"/>
  <cols>
    <col min="1" max="1" width="3.28515625" customWidth="1"/>
    <col min="2" max="2" width="28.28515625" customWidth="1"/>
    <col min="3" max="3" width="20.28515625" bestFit="1" customWidth="1"/>
    <col min="4" max="8" width="15.85546875" style="7" bestFit="1" customWidth="1"/>
    <col min="9" max="9" width="20.28515625" style="7" bestFit="1" customWidth="1"/>
    <col min="10" max="10" width="10.7109375" customWidth="1"/>
    <col min="12" max="12" width="12.5703125" bestFit="1" customWidth="1"/>
  </cols>
  <sheetData>
    <row r="1" spans="1:12">
      <c r="A1" s="81" t="s">
        <v>21</v>
      </c>
      <c r="B1" s="81"/>
      <c r="C1" s="81"/>
      <c r="D1" s="81"/>
      <c r="E1" s="81"/>
      <c r="F1" s="81"/>
      <c r="G1" s="81"/>
      <c r="H1" s="81"/>
      <c r="I1" s="81"/>
      <c r="J1" s="81"/>
    </row>
    <row r="2" spans="1:12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2" s="30" customFormat="1" ht="54" customHeight="1">
      <c r="A3" s="80" t="s">
        <v>14</v>
      </c>
      <c r="B3" s="80"/>
      <c r="C3" s="48" t="s">
        <v>23</v>
      </c>
      <c r="D3" s="48" t="s">
        <v>9</v>
      </c>
      <c r="E3" s="48" t="s">
        <v>10</v>
      </c>
      <c r="F3" s="48" t="s">
        <v>11</v>
      </c>
      <c r="G3" s="48" t="s">
        <v>12</v>
      </c>
      <c r="H3" s="48" t="s">
        <v>13</v>
      </c>
      <c r="I3" s="48" t="s">
        <v>6</v>
      </c>
      <c r="J3" s="47" t="s">
        <v>7</v>
      </c>
    </row>
    <row r="4" spans="1:12">
      <c r="A4" s="51" t="s">
        <v>15</v>
      </c>
      <c r="B4" s="51"/>
      <c r="C4" s="53">
        <f>SUM(C5:C16)</f>
        <v>773900000</v>
      </c>
      <c r="D4" s="53"/>
      <c r="E4" s="53"/>
      <c r="F4" s="53"/>
      <c r="G4" s="53"/>
      <c r="H4" s="53"/>
      <c r="I4" s="53">
        <f t="shared" ref="I4:I29" si="0">C4+D4+E4+F4+G4+H4</f>
        <v>773900000</v>
      </c>
      <c r="J4" s="53" t="s">
        <v>19</v>
      </c>
    </row>
    <row r="5" spans="1:12">
      <c r="A5" s="1"/>
      <c r="B5" s="1" t="s">
        <v>117</v>
      </c>
      <c r="C5" s="5"/>
      <c r="D5" s="5"/>
      <c r="E5" s="5"/>
      <c r="F5" s="5"/>
      <c r="G5" s="5"/>
      <c r="H5" s="5"/>
      <c r="I5" s="3"/>
      <c r="J5" s="5"/>
    </row>
    <row r="6" spans="1:12">
      <c r="A6" s="1"/>
      <c r="B6" s="1" t="s">
        <v>113</v>
      </c>
      <c r="C6" s="5"/>
      <c r="D6" s="5"/>
      <c r="E6" s="5"/>
      <c r="F6" s="5"/>
      <c r="G6" s="5"/>
      <c r="H6" s="5"/>
      <c r="I6" s="3"/>
      <c r="J6" s="5"/>
    </row>
    <row r="7" spans="1:12">
      <c r="A7" s="1"/>
      <c r="B7" s="1" t="s">
        <v>114</v>
      </c>
      <c r="C7" s="5">
        <v>90000000</v>
      </c>
      <c r="D7" s="5"/>
      <c r="E7" s="5"/>
      <c r="F7" s="5"/>
      <c r="G7" s="5"/>
      <c r="H7" s="5"/>
      <c r="I7" s="3">
        <f t="shared" si="0"/>
        <v>90000000</v>
      </c>
      <c r="J7" s="5">
        <v>1</v>
      </c>
    </row>
    <row r="8" spans="1:12">
      <c r="A8" s="1"/>
      <c r="B8" s="1" t="s">
        <v>106</v>
      </c>
      <c r="C8" s="5">
        <v>9000000</v>
      </c>
      <c r="D8" s="5"/>
      <c r="E8" s="5"/>
      <c r="F8" s="5"/>
      <c r="G8" s="5"/>
      <c r="H8" s="5"/>
      <c r="I8" s="3">
        <f t="shared" si="0"/>
        <v>9000000</v>
      </c>
      <c r="J8" s="5">
        <v>3</v>
      </c>
    </row>
    <row r="9" spans="1:12">
      <c r="A9" s="1"/>
      <c r="B9" s="1" t="s">
        <v>112</v>
      </c>
      <c r="C9" s="5">
        <v>10000000</v>
      </c>
      <c r="D9" s="5"/>
      <c r="E9" s="5"/>
      <c r="F9" s="5"/>
      <c r="G9" s="5"/>
      <c r="H9" s="5"/>
      <c r="I9" s="3">
        <f t="shared" si="0"/>
        <v>10000000</v>
      </c>
      <c r="J9" s="5">
        <v>3</v>
      </c>
    </row>
    <row r="10" spans="1:12">
      <c r="A10" s="1"/>
      <c r="B10" s="1" t="s">
        <v>186</v>
      </c>
      <c r="C10" s="5">
        <v>51500000</v>
      </c>
      <c r="D10" s="5"/>
      <c r="E10" s="5"/>
      <c r="F10" s="5"/>
      <c r="G10" s="5"/>
      <c r="H10" s="5"/>
      <c r="I10" s="3">
        <f t="shared" si="0"/>
        <v>51500000</v>
      </c>
      <c r="J10" s="5">
        <v>10</v>
      </c>
    </row>
    <row r="11" spans="1:12">
      <c r="A11" s="1"/>
      <c r="B11" s="1"/>
      <c r="C11" s="5"/>
      <c r="D11" s="5"/>
      <c r="E11" s="5"/>
      <c r="F11" s="5"/>
      <c r="G11" s="5"/>
      <c r="H11" s="5"/>
      <c r="I11" s="3"/>
      <c r="J11" s="5"/>
    </row>
    <row r="12" spans="1:12">
      <c r="A12" s="1"/>
      <c r="B12" s="1" t="s">
        <v>115</v>
      </c>
      <c r="C12" s="5">
        <f>700000*2</f>
        <v>1400000</v>
      </c>
      <c r="D12" s="5"/>
      <c r="E12" s="5"/>
      <c r="F12" s="5"/>
      <c r="G12" s="5"/>
      <c r="H12" s="5"/>
      <c r="I12" s="3">
        <f>C12+D12+E12+F12+G12+H12</f>
        <v>1400000</v>
      </c>
      <c r="J12" s="5">
        <v>3</v>
      </c>
      <c r="L12" s="44"/>
    </row>
    <row r="13" spans="1:12">
      <c r="A13" s="1"/>
      <c r="B13" s="1" t="s">
        <v>178</v>
      </c>
      <c r="C13" s="5">
        <v>50000000</v>
      </c>
      <c r="D13" s="5"/>
      <c r="E13" s="5"/>
      <c r="F13" s="5"/>
      <c r="G13" s="5"/>
      <c r="H13" s="5"/>
      <c r="I13" s="3">
        <f>C13+D13+E13+F13+G13+H13</f>
        <v>50000000</v>
      </c>
      <c r="J13" s="5">
        <v>10</v>
      </c>
      <c r="L13" s="44"/>
    </row>
    <row r="14" spans="1:12">
      <c r="A14" s="1"/>
      <c r="B14" s="1" t="s">
        <v>156</v>
      </c>
      <c r="C14" s="5">
        <v>550000000</v>
      </c>
      <c r="D14" s="5"/>
      <c r="E14" s="5"/>
      <c r="F14" s="5"/>
      <c r="G14" s="5"/>
      <c r="H14" s="5"/>
      <c r="I14" s="3">
        <f>C14+D14+E14+F14+G14+H14</f>
        <v>550000000</v>
      </c>
      <c r="J14" s="5">
        <v>45</v>
      </c>
    </row>
    <row r="15" spans="1:12">
      <c r="A15" s="1"/>
      <c r="B15" s="1" t="s">
        <v>157</v>
      </c>
      <c r="C15" s="5">
        <v>12000000</v>
      </c>
      <c r="D15" s="5"/>
      <c r="E15" s="5"/>
      <c r="F15" s="5"/>
      <c r="G15" s="5"/>
      <c r="H15" s="5"/>
      <c r="I15" s="3">
        <f>C15+D15+E15+F15+G15+H15</f>
        <v>12000000</v>
      </c>
      <c r="J15" s="5">
        <v>5</v>
      </c>
    </row>
    <row r="16" spans="1:12">
      <c r="A16" s="1"/>
      <c r="B16" s="1"/>
      <c r="C16" s="5"/>
      <c r="D16" s="5"/>
      <c r="E16" s="5"/>
      <c r="F16" s="5"/>
      <c r="G16" s="5"/>
      <c r="H16" s="5"/>
      <c r="I16" s="3">
        <f t="shared" si="0"/>
        <v>0</v>
      </c>
      <c r="J16" s="5"/>
    </row>
    <row r="17" spans="1:12">
      <c r="A17" s="51" t="s">
        <v>16</v>
      </c>
      <c r="B17" s="51"/>
      <c r="C17" s="53">
        <f>SUM(C18:C23)</f>
        <v>1200000</v>
      </c>
      <c r="D17" s="53"/>
      <c r="E17" s="53"/>
      <c r="F17" s="53"/>
      <c r="G17" s="53"/>
      <c r="H17" s="53"/>
      <c r="I17" s="53">
        <f t="shared" si="0"/>
        <v>1200000</v>
      </c>
      <c r="J17" s="53" t="s">
        <v>19</v>
      </c>
      <c r="L17" s="42"/>
    </row>
    <row r="18" spans="1:12">
      <c r="A18" s="1"/>
      <c r="B18" s="1" t="s">
        <v>109</v>
      </c>
      <c r="C18" s="5">
        <v>1200000</v>
      </c>
      <c r="D18" s="5"/>
      <c r="E18" s="5"/>
      <c r="F18" s="5"/>
      <c r="G18" s="5"/>
      <c r="H18" s="5"/>
      <c r="I18" s="3">
        <f t="shared" si="0"/>
        <v>1200000</v>
      </c>
      <c r="J18" s="6"/>
    </row>
    <row r="19" spans="1:12">
      <c r="A19" s="1"/>
      <c r="B19" s="1" t="s">
        <v>111</v>
      </c>
      <c r="C19" s="5">
        <v>0</v>
      </c>
      <c r="D19" s="5"/>
      <c r="E19" s="5"/>
      <c r="F19" s="5"/>
      <c r="G19" s="5"/>
      <c r="H19" s="5"/>
      <c r="I19" s="3">
        <f t="shared" si="0"/>
        <v>0</v>
      </c>
      <c r="J19" s="6"/>
    </row>
    <row r="20" spans="1:12">
      <c r="A20" s="1"/>
      <c r="B20" s="1"/>
      <c r="C20" s="5"/>
      <c r="D20" s="5"/>
      <c r="E20" s="5"/>
      <c r="F20" s="5"/>
      <c r="G20" s="5"/>
      <c r="H20" s="5"/>
      <c r="I20" s="3">
        <f t="shared" si="0"/>
        <v>0</v>
      </c>
      <c r="J20" s="6"/>
    </row>
    <row r="21" spans="1:12">
      <c r="A21" s="1"/>
      <c r="B21" s="1"/>
      <c r="C21" s="5"/>
      <c r="D21" s="5"/>
      <c r="E21" s="5"/>
      <c r="F21" s="5"/>
      <c r="G21" s="5"/>
      <c r="H21" s="5"/>
      <c r="I21" s="3">
        <f t="shared" si="0"/>
        <v>0</v>
      </c>
      <c r="J21" s="6"/>
    </row>
    <row r="22" spans="1:12">
      <c r="A22" s="1"/>
      <c r="B22" s="1"/>
      <c r="C22" s="5"/>
      <c r="D22" s="5"/>
      <c r="E22" s="5"/>
      <c r="F22" s="5"/>
      <c r="G22" s="5"/>
      <c r="H22" s="5"/>
      <c r="I22" s="3">
        <f t="shared" si="0"/>
        <v>0</v>
      </c>
      <c r="J22" s="6"/>
    </row>
    <row r="23" spans="1:12">
      <c r="A23" s="1"/>
      <c r="B23" s="1"/>
      <c r="C23" s="5"/>
      <c r="D23" s="5"/>
      <c r="E23" s="5"/>
      <c r="F23" s="5"/>
      <c r="G23" s="5"/>
      <c r="H23" s="5"/>
      <c r="I23" s="3">
        <f t="shared" si="0"/>
        <v>0</v>
      </c>
      <c r="J23" s="6"/>
    </row>
    <row r="24" spans="1:12">
      <c r="A24" s="51" t="s">
        <v>17</v>
      </c>
      <c r="B24" s="52"/>
      <c r="C24" s="53">
        <f>+C25</f>
        <v>60000000</v>
      </c>
      <c r="D24" s="53"/>
      <c r="E24" s="53"/>
      <c r="F24" s="53"/>
      <c r="G24" s="53"/>
      <c r="H24" s="53"/>
      <c r="I24" s="53">
        <f t="shared" si="0"/>
        <v>60000000</v>
      </c>
      <c r="J24" s="53" t="s">
        <v>19</v>
      </c>
    </row>
    <row r="25" spans="1:12">
      <c r="A25" s="1"/>
      <c r="B25" s="1" t="s">
        <v>110</v>
      </c>
      <c r="C25" s="5">
        <v>60000000</v>
      </c>
      <c r="D25" s="5"/>
      <c r="E25" s="5"/>
      <c r="F25" s="5"/>
      <c r="G25" s="5"/>
      <c r="H25" s="5"/>
      <c r="I25" s="3">
        <f t="shared" si="0"/>
        <v>60000000</v>
      </c>
      <c r="J25" s="6"/>
    </row>
    <row r="26" spans="1:12">
      <c r="A26" s="1"/>
      <c r="B26" s="1"/>
      <c r="C26" s="5"/>
      <c r="D26" s="5"/>
      <c r="E26" s="5"/>
      <c r="F26" s="5"/>
      <c r="G26" s="5"/>
      <c r="H26" s="5"/>
      <c r="I26" s="3">
        <f t="shared" si="0"/>
        <v>0</v>
      </c>
      <c r="J26" s="6"/>
    </row>
    <row r="27" spans="1:12">
      <c r="A27" s="1"/>
      <c r="B27" s="1"/>
      <c r="C27" s="5"/>
      <c r="D27" s="5"/>
      <c r="E27" s="5"/>
      <c r="F27" s="5"/>
      <c r="G27" s="5"/>
      <c r="H27" s="5"/>
      <c r="I27" s="3">
        <f t="shared" si="0"/>
        <v>0</v>
      </c>
      <c r="J27" s="6"/>
    </row>
    <row r="28" spans="1:12">
      <c r="A28" s="1"/>
      <c r="B28" s="1"/>
      <c r="C28" s="5"/>
      <c r="D28" s="11"/>
      <c r="E28" s="11"/>
      <c r="F28" s="11"/>
      <c r="G28" s="11"/>
      <c r="H28" s="11"/>
      <c r="I28" s="4">
        <f t="shared" si="0"/>
        <v>0</v>
      </c>
      <c r="J28" s="10"/>
    </row>
    <row r="29" spans="1:12">
      <c r="A29" s="49" t="s">
        <v>18</v>
      </c>
      <c r="B29" s="49"/>
      <c r="C29" s="50">
        <f>C4+C17+C24</f>
        <v>835100000</v>
      </c>
      <c r="D29" s="50"/>
      <c r="E29" s="50"/>
      <c r="F29" s="50"/>
      <c r="G29" s="50"/>
      <c r="H29" s="50"/>
      <c r="I29" s="50">
        <f t="shared" si="0"/>
        <v>835100000</v>
      </c>
      <c r="J29" s="50" t="s">
        <v>19</v>
      </c>
    </row>
  </sheetData>
  <mergeCells count="2">
    <mergeCell ref="A3:B3"/>
    <mergeCell ref="A1:J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18"/>
  <sheetViews>
    <sheetView showGridLines="0" tabSelected="1" topLeftCell="A4" workbookViewId="0">
      <selection activeCell="B18" sqref="B18:AF18"/>
    </sheetView>
  </sheetViews>
  <sheetFormatPr baseColWidth="10" defaultColWidth="9.140625" defaultRowHeight="15"/>
  <cols>
    <col min="1" max="1" width="3.28515625" customWidth="1"/>
    <col min="2" max="2" width="28.28515625" customWidth="1"/>
    <col min="3" max="3" width="15.140625" bestFit="1" customWidth="1"/>
    <col min="4" max="4" width="16.42578125" customWidth="1"/>
    <col min="5" max="8" width="14.140625" bestFit="1" customWidth="1"/>
    <col min="9" max="21" width="13.7109375" style="7" customWidth="1"/>
    <col min="22" max="22" width="13.140625" style="7" customWidth="1"/>
    <col min="23" max="23" width="13.7109375" style="7" customWidth="1"/>
    <col min="24" max="24" width="15.140625" style="7" bestFit="1" customWidth="1"/>
    <col min="25" max="25" width="10.7109375" customWidth="1"/>
    <col min="26" max="30" width="14.140625" bestFit="1" customWidth="1"/>
    <col min="31" max="31" width="15.140625" bestFit="1" customWidth="1"/>
    <col min="32" max="32" width="15.140625" customWidth="1"/>
  </cols>
  <sheetData>
    <row r="2" spans="1:32" ht="15.75" thickBot="1">
      <c r="A2" s="28" t="s">
        <v>155</v>
      </c>
    </row>
    <row r="3" spans="1:32" s="30" customFormat="1" ht="45.75" thickBot="1">
      <c r="C3" s="87" t="s">
        <v>142</v>
      </c>
      <c r="D3" s="88"/>
      <c r="E3" s="88"/>
      <c r="F3" s="88"/>
      <c r="G3" s="88"/>
      <c r="H3" s="89"/>
      <c r="I3" s="83" t="s">
        <v>147</v>
      </c>
      <c r="J3" s="90"/>
      <c r="K3" s="90"/>
      <c r="L3" s="90"/>
      <c r="M3" s="84"/>
      <c r="N3" s="83" t="s">
        <v>146</v>
      </c>
      <c r="O3" s="90"/>
      <c r="P3" s="90"/>
      <c r="Q3" s="84"/>
      <c r="R3" s="83" t="s">
        <v>145</v>
      </c>
      <c r="S3" s="90"/>
      <c r="T3" s="84"/>
      <c r="U3" s="83" t="s">
        <v>144</v>
      </c>
      <c r="V3" s="84"/>
      <c r="W3" s="63" t="s">
        <v>143</v>
      </c>
      <c r="X3" s="37"/>
    </row>
    <row r="4" spans="1:32" s="30" customFormat="1" ht="61.5" customHeight="1">
      <c r="A4" s="85" t="s">
        <v>14</v>
      </c>
      <c r="B4" s="86"/>
      <c r="C4" s="54" t="s">
        <v>23</v>
      </c>
      <c r="D4" s="55" t="s">
        <v>137</v>
      </c>
      <c r="E4" s="56" t="s">
        <v>138</v>
      </c>
      <c r="F4" s="56" t="s">
        <v>139</v>
      </c>
      <c r="G4" s="56" t="s">
        <v>140</v>
      </c>
      <c r="H4" s="57" t="s">
        <v>141</v>
      </c>
      <c r="I4" s="54" t="s">
        <v>9</v>
      </c>
      <c r="J4" s="56" t="s">
        <v>138</v>
      </c>
      <c r="K4" s="56" t="s">
        <v>139</v>
      </c>
      <c r="L4" s="56" t="s">
        <v>140</v>
      </c>
      <c r="M4" s="57" t="s">
        <v>141</v>
      </c>
      <c r="N4" s="54" t="s">
        <v>10</v>
      </c>
      <c r="O4" s="56" t="s">
        <v>139</v>
      </c>
      <c r="P4" s="56" t="s">
        <v>140</v>
      </c>
      <c r="Q4" s="57" t="s">
        <v>141</v>
      </c>
      <c r="R4" s="54" t="s">
        <v>11</v>
      </c>
      <c r="S4" s="56" t="s">
        <v>140</v>
      </c>
      <c r="T4" s="57" t="s">
        <v>141</v>
      </c>
      <c r="U4" s="54" t="s">
        <v>12</v>
      </c>
      <c r="V4" s="57" t="s">
        <v>141</v>
      </c>
      <c r="W4" s="58" t="s">
        <v>13</v>
      </c>
      <c r="X4" s="59" t="s">
        <v>6</v>
      </c>
      <c r="Y4" s="60" t="s">
        <v>7</v>
      </c>
      <c r="Z4" s="61" t="s">
        <v>153</v>
      </c>
      <c r="AA4" s="61" t="s">
        <v>152</v>
      </c>
      <c r="AB4" s="61" t="s">
        <v>151</v>
      </c>
      <c r="AC4" s="61" t="s">
        <v>150</v>
      </c>
      <c r="AD4" s="61" t="s">
        <v>149</v>
      </c>
      <c r="AE4" s="62" t="s">
        <v>148</v>
      </c>
      <c r="AF4" s="62" t="s">
        <v>154</v>
      </c>
    </row>
    <row r="5" spans="1:32">
      <c r="A5" s="2" t="s">
        <v>15</v>
      </c>
      <c r="B5" s="31"/>
      <c r="C5" s="33">
        <f>SUM(C6:C17)</f>
        <v>773900000</v>
      </c>
      <c r="D5" s="10"/>
      <c r="E5" s="10"/>
      <c r="F5" s="10"/>
      <c r="G5" s="10"/>
      <c r="H5" s="34"/>
      <c r="I5" s="33">
        <f>SUM(I6:I17)</f>
        <v>0</v>
      </c>
      <c r="J5" s="10"/>
      <c r="K5" s="10"/>
      <c r="L5" s="10"/>
      <c r="M5" s="34"/>
      <c r="N5" s="33">
        <f t="shared" ref="N5:W5" si="0">SUM(N6:N17)</f>
        <v>0</v>
      </c>
      <c r="O5" s="10"/>
      <c r="P5" s="10"/>
      <c r="Q5" s="34"/>
      <c r="R5" s="33">
        <f t="shared" si="0"/>
        <v>0</v>
      </c>
      <c r="S5" s="10"/>
      <c r="T5" s="34"/>
      <c r="U5" s="33">
        <f t="shared" si="0"/>
        <v>0</v>
      </c>
      <c r="V5" s="34"/>
      <c r="W5" s="36">
        <f t="shared" si="0"/>
        <v>0</v>
      </c>
      <c r="X5" s="33">
        <f t="shared" ref="X5:X17" si="1">C5+I5+N5+R5+U5+W5</f>
        <v>773900000</v>
      </c>
      <c r="Y5" s="4" t="s">
        <v>19</v>
      </c>
      <c r="Z5" s="40">
        <f t="shared" ref="Z5:AE5" si="2">SUM(Z6:Z17)</f>
        <v>121572222.22222222</v>
      </c>
      <c r="AA5" s="40">
        <f t="shared" si="2"/>
        <v>31572222.222222224</v>
      </c>
      <c r="AB5" s="40">
        <f t="shared" si="2"/>
        <v>31572222.222222224</v>
      </c>
      <c r="AC5" s="40">
        <f t="shared" si="2"/>
        <v>24772222.222222224</v>
      </c>
      <c r="AD5" s="40">
        <f t="shared" si="2"/>
        <v>24772222.222222224</v>
      </c>
      <c r="AE5" s="34">
        <f t="shared" si="2"/>
        <v>234261111.1111111</v>
      </c>
      <c r="AF5" s="34">
        <f t="shared" ref="AF5" si="3">SUM(AF6:AF17)</f>
        <v>539638888.88888884</v>
      </c>
    </row>
    <row r="6" spans="1:32">
      <c r="A6" s="1"/>
      <c r="B6" s="32" t="s">
        <v>117</v>
      </c>
      <c r="C6" s="38">
        <f>Presupuesto_Inversiones!C5</f>
        <v>0</v>
      </c>
      <c r="D6" s="6">
        <f>IFERROR($C6/$Y6,0)</f>
        <v>0</v>
      </c>
      <c r="E6" s="6">
        <f>IF($Y6&gt;1,$C6/$Y6,0)</f>
        <v>0</v>
      </c>
      <c r="F6" s="6">
        <f>IF($Y6&gt;2,$C6/$Y6,0)</f>
        <v>0</v>
      </c>
      <c r="G6" s="6">
        <f>IF($Y6&gt;3,$C6/$Y6,0)</f>
        <v>0</v>
      </c>
      <c r="H6" s="6">
        <f>IF($Y6&gt;4,$C6/$Y6,0)</f>
        <v>0</v>
      </c>
      <c r="I6" s="38">
        <f>Presupuesto_Inversiones!D5</f>
        <v>0</v>
      </c>
      <c r="J6" s="6">
        <f>IFERROR($I6/$Y6,0)</f>
        <v>0</v>
      </c>
      <c r="K6" s="6">
        <f>IF($Y6&gt;1,$I6/$Y6,0)</f>
        <v>0</v>
      </c>
      <c r="L6" s="6">
        <f>IF($Y6&gt;2,$I6/$Y6,0)</f>
        <v>0</v>
      </c>
      <c r="M6" s="6">
        <f>IF($Y6&gt;3,$I6/$Y6,0)</f>
        <v>0</v>
      </c>
      <c r="N6" s="38">
        <f>Presupuesto_Inversiones!E5</f>
        <v>0</v>
      </c>
      <c r="O6" s="6">
        <f>IFERROR($N6/$Y6,0)</f>
        <v>0</v>
      </c>
      <c r="P6" s="6">
        <f>IF($Y6&gt;1,$N6/$Y6,0)</f>
        <v>0</v>
      </c>
      <c r="Q6" s="6">
        <f>IF($Y6&gt;2,$N6/$Y6,0)</f>
        <v>0</v>
      </c>
      <c r="R6" s="38">
        <f>Presupuesto_Inversiones!F5</f>
        <v>0</v>
      </c>
      <c r="S6" s="6">
        <f>IFERROR($R6/$Y6,0)</f>
        <v>0</v>
      </c>
      <c r="T6" s="6">
        <f>IF($Y6&gt;1,$R6/$Y6,0)</f>
        <v>0</v>
      </c>
      <c r="U6" s="38">
        <f>Presupuesto_Inversiones!G5</f>
        <v>0</v>
      </c>
      <c r="V6" s="6">
        <f>IFERROR($U6/$Y6,0)</f>
        <v>0</v>
      </c>
      <c r="W6" s="39">
        <f>Presupuesto_Inversiones!H5</f>
        <v>0</v>
      </c>
      <c r="X6" s="38">
        <f t="shared" si="1"/>
        <v>0</v>
      </c>
      <c r="Y6" s="6">
        <f>Presupuesto_Inversiones!J5</f>
        <v>0</v>
      </c>
      <c r="Z6" s="41">
        <f>D6</f>
        <v>0</v>
      </c>
      <c r="AA6" s="41">
        <f>E6+J6</f>
        <v>0</v>
      </c>
      <c r="AB6" s="41">
        <f>F6+K6+O6</f>
        <v>0</v>
      </c>
      <c r="AC6" s="41">
        <f>+G6+L6+P6+S6</f>
        <v>0</v>
      </c>
      <c r="AD6" s="41">
        <f>+H6+M6+Q6+T6+V6</f>
        <v>0</v>
      </c>
      <c r="AE6" s="35">
        <f>SUM(Z6:AD6)</f>
        <v>0</v>
      </c>
      <c r="AF6" s="35">
        <f>X6-AE6</f>
        <v>0</v>
      </c>
    </row>
    <row r="7" spans="1:32">
      <c r="A7" s="1"/>
      <c r="B7" s="32" t="s">
        <v>113</v>
      </c>
      <c r="C7" s="38">
        <f>Presupuesto_Inversiones!C6</f>
        <v>0</v>
      </c>
      <c r="D7" s="6">
        <f t="shared" ref="D7:D17" si="4">IFERROR($C7/$Y7,0)</f>
        <v>0</v>
      </c>
      <c r="E7" s="6">
        <f t="shared" ref="E7:E17" si="5">IF($Y7&gt;1,$C7/$Y7,0)</f>
        <v>0</v>
      </c>
      <c r="F7" s="6">
        <f t="shared" ref="F7:F17" si="6">IF($Y7&gt;2,$C7/$Y7,0)</f>
        <v>0</v>
      </c>
      <c r="G7" s="6">
        <f t="shared" ref="G7:G17" si="7">IF($Y7&gt;3,$C7/$Y7,0)</f>
        <v>0</v>
      </c>
      <c r="H7" s="6">
        <f t="shared" ref="H7:H17" si="8">IF($Y7&gt;4,$C7/$Y7,0)</f>
        <v>0</v>
      </c>
      <c r="I7" s="38">
        <f>Presupuesto_Inversiones!D6</f>
        <v>0</v>
      </c>
      <c r="J7" s="6">
        <f t="shared" ref="J7:J17" si="9">IFERROR($I7/$Y7,0)</f>
        <v>0</v>
      </c>
      <c r="K7" s="6">
        <f t="shared" ref="K7:K17" si="10">IF($Y7&gt;1,$I7/$Y7,0)</f>
        <v>0</v>
      </c>
      <c r="L7" s="6">
        <f t="shared" ref="L7:L17" si="11">IF($Y7&gt;2,$I7/$Y7,0)</f>
        <v>0</v>
      </c>
      <c r="M7" s="6">
        <f t="shared" ref="M7:M17" si="12">IF($Y7&gt;3,$I7/$Y7,0)</f>
        <v>0</v>
      </c>
      <c r="N7" s="38">
        <f>Presupuesto_Inversiones!E6</f>
        <v>0</v>
      </c>
      <c r="O7" s="6">
        <f t="shared" ref="O7:O17" si="13">IFERROR($N7/$Y7,0)</f>
        <v>0</v>
      </c>
      <c r="P7" s="6">
        <f t="shared" ref="P7:P17" si="14">IF($Y7&gt;1,$N7/$Y7,0)</f>
        <v>0</v>
      </c>
      <c r="Q7" s="6">
        <f t="shared" ref="Q7:Q17" si="15">IF($Y7&gt;2,$N7/$Y7,0)</f>
        <v>0</v>
      </c>
      <c r="R7" s="38">
        <f>Presupuesto_Inversiones!F6</f>
        <v>0</v>
      </c>
      <c r="S7" s="6">
        <f t="shared" ref="S7:S17" si="16">IFERROR($R7/$Y7,0)</f>
        <v>0</v>
      </c>
      <c r="T7" s="6">
        <f t="shared" ref="T7:T17" si="17">IF($Y7&gt;1,$R7/$Y7,0)</f>
        <v>0</v>
      </c>
      <c r="U7" s="38">
        <f>Presupuesto_Inversiones!G6</f>
        <v>0</v>
      </c>
      <c r="V7" s="6">
        <f t="shared" ref="V7:V17" si="18">IFERROR($U7/$Y7,0)</f>
        <v>0</v>
      </c>
      <c r="W7" s="39">
        <f>Presupuesto_Inversiones!H6</f>
        <v>0</v>
      </c>
      <c r="X7" s="38">
        <f t="shared" si="1"/>
        <v>0</v>
      </c>
      <c r="Y7" s="6">
        <f>Presupuesto_Inversiones!J6</f>
        <v>0</v>
      </c>
      <c r="Z7" s="41">
        <f t="shared" ref="Z7:Z17" si="19">D7</f>
        <v>0</v>
      </c>
      <c r="AA7" s="41">
        <f t="shared" ref="AA7:AA17" si="20">E7+J7</f>
        <v>0</v>
      </c>
      <c r="AB7" s="41">
        <f t="shared" ref="AB7:AB17" si="21">F7+K7+O7</f>
        <v>0</v>
      </c>
      <c r="AC7" s="41">
        <f t="shared" ref="AC7:AC17" si="22">+G7+L7+P7+S7</f>
        <v>0</v>
      </c>
      <c r="AD7" s="41">
        <f t="shared" ref="AD7:AD17" si="23">+H7+M7+Q7+T7+V7</f>
        <v>0</v>
      </c>
      <c r="AE7" s="35">
        <f t="shared" ref="AE7:AE17" si="24">SUM(Z7:AD7)</f>
        <v>0</v>
      </c>
      <c r="AF7" s="35">
        <f t="shared" ref="AF7:AF17" si="25">X7-AE7</f>
        <v>0</v>
      </c>
    </row>
    <row r="8" spans="1:32">
      <c r="A8" s="1"/>
      <c r="B8" s="32" t="s">
        <v>114</v>
      </c>
      <c r="C8" s="38">
        <f>Presupuesto_Inversiones!C7</f>
        <v>90000000</v>
      </c>
      <c r="D8" s="6">
        <f t="shared" si="4"/>
        <v>90000000</v>
      </c>
      <c r="E8" s="6">
        <f t="shared" si="5"/>
        <v>0</v>
      </c>
      <c r="F8" s="6">
        <f t="shared" si="6"/>
        <v>0</v>
      </c>
      <c r="G8" s="6">
        <f t="shared" si="7"/>
        <v>0</v>
      </c>
      <c r="H8" s="6">
        <f t="shared" si="8"/>
        <v>0</v>
      </c>
      <c r="I8" s="38">
        <f>Presupuesto_Inversiones!D7</f>
        <v>0</v>
      </c>
      <c r="J8" s="6">
        <f t="shared" si="9"/>
        <v>0</v>
      </c>
      <c r="K8" s="6">
        <f t="shared" si="10"/>
        <v>0</v>
      </c>
      <c r="L8" s="6">
        <f t="shared" si="11"/>
        <v>0</v>
      </c>
      <c r="M8" s="6">
        <f t="shared" si="12"/>
        <v>0</v>
      </c>
      <c r="N8" s="38">
        <f>Presupuesto_Inversiones!E7</f>
        <v>0</v>
      </c>
      <c r="O8" s="6">
        <f t="shared" si="13"/>
        <v>0</v>
      </c>
      <c r="P8" s="6">
        <f t="shared" si="14"/>
        <v>0</v>
      </c>
      <c r="Q8" s="6">
        <f t="shared" si="15"/>
        <v>0</v>
      </c>
      <c r="R8" s="38">
        <f>Presupuesto_Inversiones!F7</f>
        <v>0</v>
      </c>
      <c r="S8" s="6">
        <f t="shared" si="16"/>
        <v>0</v>
      </c>
      <c r="T8" s="6">
        <f t="shared" si="17"/>
        <v>0</v>
      </c>
      <c r="U8" s="38">
        <f>Presupuesto_Inversiones!G7</f>
        <v>0</v>
      </c>
      <c r="V8" s="6">
        <f t="shared" si="18"/>
        <v>0</v>
      </c>
      <c r="W8" s="39">
        <f>Presupuesto_Inversiones!H7</f>
        <v>0</v>
      </c>
      <c r="X8" s="38">
        <f t="shared" si="1"/>
        <v>90000000</v>
      </c>
      <c r="Y8" s="6">
        <f>Presupuesto_Inversiones!J7</f>
        <v>1</v>
      </c>
      <c r="Z8" s="41">
        <f t="shared" si="19"/>
        <v>90000000</v>
      </c>
      <c r="AA8" s="41">
        <f t="shared" si="20"/>
        <v>0</v>
      </c>
      <c r="AB8" s="41">
        <f t="shared" si="21"/>
        <v>0</v>
      </c>
      <c r="AC8" s="41">
        <f t="shared" si="22"/>
        <v>0</v>
      </c>
      <c r="AD8" s="41">
        <f t="shared" si="23"/>
        <v>0</v>
      </c>
      <c r="AE8" s="35">
        <f t="shared" si="24"/>
        <v>90000000</v>
      </c>
      <c r="AF8" s="35">
        <f t="shared" si="25"/>
        <v>0</v>
      </c>
    </row>
    <row r="9" spans="1:32">
      <c r="A9" s="1"/>
      <c r="B9" s="32" t="s">
        <v>106</v>
      </c>
      <c r="C9" s="38">
        <f>Presupuesto_Inversiones!C8</f>
        <v>9000000</v>
      </c>
      <c r="D9" s="6">
        <f t="shared" si="4"/>
        <v>3000000</v>
      </c>
      <c r="E9" s="6">
        <f t="shared" si="5"/>
        <v>3000000</v>
      </c>
      <c r="F9" s="6">
        <f t="shared" si="6"/>
        <v>3000000</v>
      </c>
      <c r="G9" s="6">
        <f t="shared" si="7"/>
        <v>0</v>
      </c>
      <c r="H9" s="6">
        <f t="shared" si="8"/>
        <v>0</v>
      </c>
      <c r="I9" s="38">
        <f>Presupuesto_Inversiones!D8</f>
        <v>0</v>
      </c>
      <c r="J9" s="6">
        <f t="shared" si="9"/>
        <v>0</v>
      </c>
      <c r="K9" s="6">
        <f t="shared" si="10"/>
        <v>0</v>
      </c>
      <c r="L9" s="6">
        <f t="shared" si="11"/>
        <v>0</v>
      </c>
      <c r="M9" s="6">
        <f t="shared" si="12"/>
        <v>0</v>
      </c>
      <c r="N9" s="38">
        <f>Presupuesto_Inversiones!E8</f>
        <v>0</v>
      </c>
      <c r="O9" s="6">
        <f t="shared" si="13"/>
        <v>0</v>
      </c>
      <c r="P9" s="6">
        <f t="shared" si="14"/>
        <v>0</v>
      </c>
      <c r="Q9" s="6">
        <f t="shared" si="15"/>
        <v>0</v>
      </c>
      <c r="R9" s="38">
        <f>Presupuesto_Inversiones!F8</f>
        <v>0</v>
      </c>
      <c r="S9" s="6">
        <f t="shared" si="16"/>
        <v>0</v>
      </c>
      <c r="T9" s="6">
        <f t="shared" si="17"/>
        <v>0</v>
      </c>
      <c r="U9" s="38">
        <f>Presupuesto_Inversiones!G8</f>
        <v>0</v>
      </c>
      <c r="V9" s="6">
        <f t="shared" si="18"/>
        <v>0</v>
      </c>
      <c r="W9" s="39">
        <f>Presupuesto_Inversiones!H8</f>
        <v>0</v>
      </c>
      <c r="X9" s="38">
        <f t="shared" si="1"/>
        <v>9000000</v>
      </c>
      <c r="Y9" s="6">
        <f>Presupuesto_Inversiones!J8</f>
        <v>3</v>
      </c>
      <c r="Z9" s="41">
        <f t="shared" si="19"/>
        <v>3000000</v>
      </c>
      <c r="AA9" s="41">
        <f t="shared" si="20"/>
        <v>3000000</v>
      </c>
      <c r="AB9" s="41">
        <f t="shared" si="21"/>
        <v>3000000</v>
      </c>
      <c r="AC9" s="41">
        <f t="shared" si="22"/>
        <v>0</v>
      </c>
      <c r="AD9" s="41">
        <f t="shared" si="23"/>
        <v>0</v>
      </c>
      <c r="AE9" s="35">
        <f t="shared" si="24"/>
        <v>9000000</v>
      </c>
      <c r="AF9" s="35">
        <f t="shared" si="25"/>
        <v>0</v>
      </c>
    </row>
    <row r="10" spans="1:32">
      <c r="A10" s="1"/>
      <c r="B10" s="32" t="s">
        <v>112</v>
      </c>
      <c r="C10" s="38">
        <f>Presupuesto_Inversiones!C9</f>
        <v>10000000</v>
      </c>
      <c r="D10" s="6">
        <f t="shared" si="4"/>
        <v>3333333.3333333335</v>
      </c>
      <c r="E10" s="6">
        <f t="shared" si="5"/>
        <v>3333333.3333333335</v>
      </c>
      <c r="F10" s="6">
        <f t="shared" si="6"/>
        <v>3333333.3333333335</v>
      </c>
      <c r="G10" s="6">
        <f t="shared" si="7"/>
        <v>0</v>
      </c>
      <c r="H10" s="6">
        <f t="shared" si="8"/>
        <v>0</v>
      </c>
      <c r="I10" s="38">
        <f>Presupuesto_Inversiones!D9</f>
        <v>0</v>
      </c>
      <c r="J10" s="6">
        <f t="shared" si="9"/>
        <v>0</v>
      </c>
      <c r="K10" s="6">
        <f t="shared" si="10"/>
        <v>0</v>
      </c>
      <c r="L10" s="6">
        <f t="shared" si="11"/>
        <v>0</v>
      </c>
      <c r="M10" s="6">
        <f t="shared" si="12"/>
        <v>0</v>
      </c>
      <c r="N10" s="38">
        <f>Presupuesto_Inversiones!E9</f>
        <v>0</v>
      </c>
      <c r="O10" s="6">
        <f t="shared" si="13"/>
        <v>0</v>
      </c>
      <c r="P10" s="6">
        <f t="shared" si="14"/>
        <v>0</v>
      </c>
      <c r="Q10" s="6">
        <f t="shared" si="15"/>
        <v>0</v>
      </c>
      <c r="R10" s="38">
        <f>Presupuesto_Inversiones!F9</f>
        <v>0</v>
      </c>
      <c r="S10" s="6">
        <f t="shared" si="16"/>
        <v>0</v>
      </c>
      <c r="T10" s="6">
        <f t="shared" si="17"/>
        <v>0</v>
      </c>
      <c r="U10" s="38">
        <f>Presupuesto_Inversiones!G9</f>
        <v>0</v>
      </c>
      <c r="V10" s="6">
        <f t="shared" si="18"/>
        <v>0</v>
      </c>
      <c r="W10" s="39">
        <f>Presupuesto_Inversiones!H9</f>
        <v>0</v>
      </c>
      <c r="X10" s="38">
        <f t="shared" si="1"/>
        <v>10000000</v>
      </c>
      <c r="Y10" s="6">
        <f>Presupuesto_Inversiones!J9</f>
        <v>3</v>
      </c>
      <c r="Z10" s="41">
        <f t="shared" si="19"/>
        <v>3333333.3333333335</v>
      </c>
      <c r="AA10" s="41">
        <f t="shared" si="20"/>
        <v>3333333.3333333335</v>
      </c>
      <c r="AB10" s="41">
        <f t="shared" si="21"/>
        <v>3333333.3333333335</v>
      </c>
      <c r="AC10" s="41">
        <f t="shared" si="22"/>
        <v>0</v>
      </c>
      <c r="AD10" s="41">
        <f t="shared" si="23"/>
        <v>0</v>
      </c>
      <c r="AE10" s="35">
        <f t="shared" si="24"/>
        <v>10000000</v>
      </c>
      <c r="AF10" s="35">
        <f t="shared" si="25"/>
        <v>0</v>
      </c>
    </row>
    <row r="11" spans="1:32">
      <c r="A11" s="1"/>
      <c r="B11" s="32" t="s">
        <v>107</v>
      </c>
      <c r="C11" s="38">
        <f>Presupuesto_Inversiones!C10</f>
        <v>51500000</v>
      </c>
      <c r="D11" s="6">
        <f t="shared" si="4"/>
        <v>5150000</v>
      </c>
      <c r="E11" s="6">
        <f t="shared" si="5"/>
        <v>5150000</v>
      </c>
      <c r="F11" s="6">
        <f t="shared" si="6"/>
        <v>5150000</v>
      </c>
      <c r="G11" s="6">
        <f t="shared" si="7"/>
        <v>5150000</v>
      </c>
      <c r="H11" s="6">
        <f t="shared" si="8"/>
        <v>5150000</v>
      </c>
      <c r="I11" s="38">
        <f>Presupuesto_Inversiones!D10</f>
        <v>0</v>
      </c>
      <c r="J11" s="6">
        <f t="shared" si="9"/>
        <v>0</v>
      </c>
      <c r="K11" s="6">
        <f t="shared" si="10"/>
        <v>0</v>
      </c>
      <c r="L11" s="6">
        <f t="shared" si="11"/>
        <v>0</v>
      </c>
      <c r="M11" s="6">
        <f t="shared" si="12"/>
        <v>0</v>
      </c>
      <c r="N11" s="38">
        <f>Presupuesto_Inversiones!E10</f>
        <v>0</v>
      </c>
      <c r="O11" s="6">
        <f t="shared" si="13"/>
        <v>0</v>
      </c>
      <c r="P11" s="6">
        <f t="shared" si="14"/>
        <v>0</v>
      </c>
      <c r="Q11" s="6">
        <f t="shared" si="15"/>
        <v>0</v>
      </c>
      <c r="R11" s="38">
        <f>Presupuesto_Inversiones!F10</f>
        <v>0</v>
      </c>
      <c r="S11" s="6">
        <f t="shared" si="16"/>
        <v>0</v>
      </c>
      <c r="T11" s="6">
        <f t="shared" si="17"/>
        <v>0</v>
      </c>
      <c r="U11" s="38">
        <f>Presupuesto_Inversiones!G10</f>
        <v>0</v>
      </c>
      <c r="V11" s="6">
        <f t="shared" si="18"/>
        <v>0</v>
      </c>
      <c r="W11" s="39">
        <f>Presupuesto_Inversiones!H10</f>
        <v>0</v>
      </c>
      <c r="X11" s="38">
        <f t="shared" si="1"/>
        <v>51500000</v>
      </c>
      <c r="Y11" s="6">
        <f>Presupuesto_Inversiones!J10</f>
        <v>10</v>
      </c>
      <c r="Z11" s="41">
        <f t="shared" si="19"/>
        <v>5150000</v>
      </c>
      <c r="AA11" s="41">
        <f t="shared" si="20"/>
        <v>5150000</v>
      </c>
      <c r="AB11" s="41">
        <f t="shared" si="21"/>
        <v>5150000</v>
      </c>
      <c r="AC11" s="41">
        <f t="shared" si="22"/>
        <v>5150000</v>
      </c>
      <c r="AD11" s="41">
        <f t="shared" si="23"/>
        <v>5150000</v>
      </c>
      <c r="AE11" s="35">
        <f t="shared" si="24"/>
        <v>25750000</v>
      </c>
      <c r="AF11" s="35">
        <f t="shared" si="25"/>
        <v>25750000</v>
      </c>
    </row>
    <row r="12" spans="1:32">
      <c r="A12" s="1"/>
      <c r="B12" s="32" t="s">
        <v>108</v>
      </c>
      <c r="C12" s="38">
        <f>Presupuesto_Inversiones!C11</f>
        <v>0</v>
      </c>
      <c r="D12" s="6">
        <f t="shared" si="4"/>
        <v>0</v>
      </c>
      <c r="E12" s="6">
        <f t="shared" si="5"/>
        <v>0</v>
      </c>
      <c r="F12" s="6">
        <f t="shared" si="6"/>
        <v>0</v>
      </c>
      <c r="G12" s="6">
        <f t="shared" si="7"/>
        <v>0</v>
      </c>
      <c r="H12" s="6">
        <f t="shared" si="8"/>
        <v>0</v>
      </c>
      <c r="I12" s="38">
        <f>Presupuesto_Inversiones!D11</f>
        <v>0</v>
      </c>
      <c r="J12" s="6">
        <f t="shared" si="9"/>
        <v>0</v>
      </c>
      <c r="K12" s="6">
        <f t="shared" si="10"/>
        <v>0</v>
      </c>
      <c r="L12" s="6">
        <f t="shared" si="11"/>
        <v>0</v>
      </c>
      <c r="M12" s="6">
        <f t="shared" si="12"/>
        <v>0</v>
      </c>
      <c r="N12" s="38">
        <f>Presupuesto_Inversiones!E11</f>
        <v>0</v>
      </c>
      <c r="O12" s="6">
        <f t="shared" si="13"/>
        <v>0</v>
      </c>
      <c r="P12" s="6">
        <f t="shared" si="14"/>
        <v>0</v>
      </c>
      <c r="Q12" s="6">
        <f t="shared" si="15"/>
        <v>0</v>
      </c>
      <c r="R12" s="38">
        <f>Presupuesto_Inversiones!F11</f>
        <v>0</v>
      </c>
      <c r="S12" s="6">
        <f t="shared" si="16"/>
        <v>0</v>
      </c>
      <c r="T12" s="6">
        <f t="shared" si="17"/>
        <v>0</v>
      </c>
      <c r="U12" s="38">
        <f>Presupuesto_Inversiones!G11</f>
        <v>0</v>
      </c>
      <c r="V12" s="6">
        <f t="shared" si="18"/>
        <v>0</v>
      </c>
      <c r="W12" s="39">
        <f>Presupuesto_Inversiones!H11</f>
        <v>0</v>
      </c>
      <c r="X12" s="38">
        <f t="shared" si="1"/>
        <v>0</v>
      </c>
      <c r="Y12" s="6">
        <f>Presupuesto_Inversiones!J11</f>
        <v>0</v>
      </c>
      <c r="Z12" s="41">
        <f t="shared" si="19"/>
        <v>0</v>
      </c>
      <c r="AA12" s="41">
        <f t="shared" si="20"/>
        <v>0</v>
      </c>
      <c r="AB12" s="41">
        <f t="shared" si="21"/>
        <v>0</v>
      </c>
      <c r="AC12" s="41">
        <f t="shared" si="22"/>
        <v>0</v>
      </c>
      <c r="AD12" s="41">
        <f t="shared" si="23"/>
        <v>0</v>
      </c>
      <c r="AE12" s="35">
        <f t="shared" si="24"/>
        <v>0</v>
      </c>
      <c r="AF12" s="35">
        <f t="shared" si="25"/>
        <v>0</v>
      </c>
    </row>
    <row r="13" spans="1:32">
      <c r="A13" s="1"/>
      <c r="B13" s="32" t="s">
        <v>115</v>
      </c>
      <c r="C13" s="38">
        <f>Presupuesto_Inversiones!C12</f>
        <v>1400000</v>
      </c>
      <c r="D13" s="6">
        <f t="shared" si="4"/>
        <v>466666.66666666669</v>
      </c>
      <c r="E13" s="6">
        <f t="shared" si="5"/>
        <v>466666.66666666669</v>
      </c>
      <c r="F13" s="6">
        <f t="shared" si="6"/>
        <v>466666.66666666669</v>
      </c>
      <c r="G13" s="6">
        <f t="shared" si="7"/>
        <v>0</v>
      </c>
      <c r="H13" s="6">
        <f t="shared" si="8"/>
        <v>0</v>
      </c>
      <c r="I13" s="38">
        <f>Presupuesto_Inversiones!D12</f>
        <v>0</v>
      </c>
      <c r="J13" s="6">
        <f t="shared" si="9"/>
        <v>0</v>
      </c>
      <c r="K13" s="6">
        <f t="shared" si="10"/>
        <v>0</v>
      </c>
      <c r="L13" s="6">
        <f t="shared" si="11"/>
        <v>0</v>
      </c>
      <c r="M13" s="6">
        <f t="shared" si="12"/>
        <v>0</v>
      </c>
      <c r="N13" s="38">
        <f>Presupuesto_Inversiones!E12</f>
        <v>0</v>
      </c>
      <c r="O13" s="6">
        <f t="shared" si="13"/>
        <v>0</v>
      </c>
      <c r="P13" s="6">
        <f t="shared" si="14"/>
        <v>0</v>
      </c>
      <c r="Q13" s="6">
        <f t="shared" si="15"/>
        <v>0</v>
      </c>
      <c r="R13" s="38">
        <f>Presupuesto_Inversiones!F12</f>
        <v>0</v>
      </c>
      <c r="S13" s="6">
        <f t="shared" si="16"/>
        <v>0</v>
      </c>
      <c r="T13" s="6">
        <f t="shared" si="17"/>
        <v>0</v>
      </c>
      <c r="U13" s="38">
        <f>Presupuesto_Inversiones!G12</f>
        <v>0</v>
      </c>
      <c r="V13" s="6">
        <f t="shared" si="18"/>
        <v>0</v>
      </c>
      <c r="W13" s="39">
        <f>Presupuesto_Inversiones!H12</f>
        <v>0</v>
      </c>
      <c r="X13" s="38">
        <f t="shared" si="1"/>
        <v>1400000</v>
      </c>
      <c r="Y13" s="6">
        <f>Presupuesto_Inversiones!J12</f>
        <v>3</v>
      </c>
      <c r="Z13" s="41">
        <f t="shared" si="19"/>
        <v>466666.66666666669</v>
      </c>
      <c r="AA13" s="41">
        <f t="shared" si="20"/>
        <v>466666.66666666669</v>
      </c>
      <c r="AB13" s="41">
        <f t="shared" si="21"/>
        <v>466666.66666666669</v>
      </c>
      <c r="AC13" s="41">
        <f t="shared" si="22"/>
        <v>0</v>
      </c>
      <c r="AD13" s="41">
        <f t="shared" si="23"/>
        <v>0</v>
      </c>
      <c r="AE13" s="35">
        <f t="shared" si="24"/>
        <v>1400000</v>
      </c>
      <c r="AF13" s="35">
        <f t="shared" si="25"/>
        <v>0</v>
      </c>
    </row>
    <row r="14" spans="1:32">
      <c r="A14" s="1"/>
      <c r="B14" s="32" t="s">
        <v>116</v>
      </c>
      <c r="C14" s="38">
        <f>Presupuesto_Inversiones!C13</f>
        <v>50000000</v>
      </c>
      <c r="D14" s="6">
        <f t="shared" si="4"/>
        <v>5000000</v>
      </c>
      <c r="E14" s="6">
        <f t="shared" si="5"/>
        <v>5000000</v>
      </c>
      <c r="F14" s="6">
        <f t="shared" si="6"/>
        <v>5000000</v>
      </c>
      <c r="G14" s="6">
        <f t="shared" si="7"/>
        <v>5000000</v>
      </c>
      <c r="H14" s="6">
        <f t="shared" si="8"/>
        <v>5000000</v>
      </c>
      <c r="I14" s="38">
        <f>Presupuesto_Inversiones!D13</f>
        <v>0</v>
      </c>
      <c r="J14" s="6">
        <f t="shared" si="9"/>
        <v>0</v>
      </c>
      <c r="K14" s="6">
        <f t="shared" si="10"/>
        <v>0</v>
      </c>
      <c r="L14" s="6">
        <f t="shared" si="11"/>
        <v>0</v>
      </c>
      <c r="M14" s="6">
        <f t="shared" si="12"/>
        <v>0</v>
      </c>
      <c r="N14" s="38">
        <f>Presupuesto_Inversiones!E13</f>
        <v>0</v>
      </c>
      <c r="O14" s="6">
        <f t="shared" si="13"/>
        <v>0</v>
      </c>
      <c r="P14" s="6">
        <f t="shared" si="14"/>
        <v>0</v>
      </c>
      <c r="Q14" s="6">
        <f t="shared" si="15"/>
        <v>0</v>
      </c>
      <c r="R14" s="38">
        <f>Presupuesto_Inversiones!F13</f>
        <v>0</v>
      </c>
      <c r="S14" s="6">
        <f t="shared" si="16"/>
        <v>0</v>
      </c>
      <c r="T14" s="6">
        <f t="shared" si="17"/>
        <v>0</v>
      </c>
      <c r="U14" s="38">
        <f>Presupuesto_Inversiones!G13</f>
        <v>0</v>
      </c>
      <c r="V14" s="6">
        <f t="shared" si="18"/>
        <v>0</v>
      </c>
      <c r="W14" s="39">
        <f>Presupuesto_Inversiones!H13</f>
        <v>0</v>
      </c>
      <c r="X14" s="38">
        <f t="shared" si="1"/>
        <v>50000000</v>
      </c>
      <c r="Y14" s="6">
        <f>Presupuesto_Inversiones!J13</f>
        <v>10</v>
      </c>
      <c r="Z14" s="41">
        <f t="shared" si="19"/>
        <v>5000000</v>
      </c>
      <c r="AA14" s="41">
        <f t="shared" si="20"/>
        <v>5000000</v>
      </c>
      <c r="AB14" s="41">
        <f t="shared" si="21"/>
        <v>5000000</v>
      </c>
      <c r="AC14" s="41">
        <f t="shared" si="22"/>
        <v>5000000</v>
      </c>
      <c r="AD14" s="41">
        <f t="shared" si="23"/>
        <v>5000000</v>
      </c>
      <c r="AE14" s="35">
        <f t="shared" si="24"/>
        <v>25000000</v>
      </c>
      <c r="AF14" s="35">
        <f t="shared" si="25"/>
        <v>25000000</v>
      </c>
    </row>
    <row r="15" spans="1:32">
      <c r="A15" s="1"/>
      <c r="B15" s="32" t="s">
        <v>158</v>
      </c>
      <c r="C15" s="38">
        <f>Presupuesto_Inversiones!C14</f>
        <v>550000000</v>
      </c>
      <c r="D15" s="6">
        <f t="shared" si="4"/>
        <v>12222222.222222222</v>
      </c>
      <c r="E15" s="6">
        <f t="shared" si="5"/>
        <v>12222222.222222222</v>
      </c>
      <c r="F15" s="6">
        <f t="shared" si="6"/>
        <v>12222222.222222222</v>
      </c>
      <c r="G15" s="6">
        <f t="shared" si="7"/>
        <v>12222222.222222222</v>
      </c>
      <c r="H15" s="6">
        <f t="shared" si="8"/>
        <v>12222222.222222222</v>
      </c>
      <c r="I15" s="38">
        <f>Presupuesto_Inversiones!D14</f>
        <v>0</v>
      </c>
      <c r="J15" s="6">
        <f t="shared" si="9"/>
        <v>0</v>
      </c>
      <c r="K15" s="6">
        <f t="shared" si="10"/>
        <v>0</v>
      </c>
      <c r="L15" s="6">
        <f t="shared" si="11"/>
        <v>0</v>
      </c>
      <c r="M15" s="6">
        <f t="shared" si="12"/>
        <v>0</v>
      </c>
      <c r="N15" s="38">
        <f>Presupuesto_Inversiones!E14</f>
        <v>0</v>
      </c>
      <c r="O15" s="6">
        <f t="shared" si="13"/>
        <v>0</v>
      </c>
      <c r="P15" s="6">
        <f t="shared" si="14"/>
        <v>0</v>
      </c>
      <c r="Q15" s="6">
        <f t="shared" si="15"/>
        <v>0</v>
      </c>
      <c r="R15" s="38">
        <f>Presupuesto_Inversiones!F14</f>
        <v>0</v>
      </c>
      <c r="S15" s="6">
        <f t="shared" si="16"/>
        <v>0</v>
      </c>
      <c r="T15" s="6">
        <f t="shared" si="17"/>
        <v>0</v>
      </c>
      <c r="U15" s="38">
        <f>Presupuesto_Inversiones!G14</f>
        <v>0</v>
      </c>
      <c r="V15" s="6">
        <f t="shared" si="18"/>
        <v>0</v>
      </c>
      <c r="W15" s="39">
        <f>Presupuesto_Inversiones!H14</f>
        <v>0</v>
      </c>
      <c r="X15" s="38">
        <f t="shared" si="1"/>
        <v>550000000</v>
      </c>
      <c r="Y15" s="6">
        <f>Presupuesto_Inversiones!J14</f>
        <v>45</v>
      </c>
      <c r="Z15" s="41">
        <f t="shared" si="19"/>
        <v>12222222.222222222</v>
      </c>
      <c r="AA15" s="41">
        <f t="shared" si="20"/>
        <v>12222222.222222222</v>
      </c>
      <c r="AB15" s="41">
        <f t="shared" si="21"/>
        <v>12222222.222222222</v>
      </c>
      <c r="AC15" s="41">
        <f t="shared" si="22"/>
        <v>12222222.222222222</v>
      </c>
      <c r="AD15" s="41">
        <f t="shared" si="23"/>
        <v>12222222.222222222</v>
      </c>
      <c r="AE15" s="35">
        <f t="shared" si="24"/>
        <v>61111111.111111112</v>
      </c>
      <c r="AF15" s="35">
        <f t="shared" si="25"/>
        <v>488888888.8888889</v>
      </c>
    </row>
    <row r="16" spans="1:32">
      <c r="A16" s="1"/>
      <c r="B16" s="32" t="s">
        <v>159</v>
      </c>
      <c r="C16" s="38">
        <f>Presupuesto_Inversiones!C15</f>
        <v>12000000</v>
      </c>
      <c r="D16" s="6">
        <f t="shared" si="4"/>
        <v>2400000</v>
      </c>
      <c r="E16" s="6">
        <f t="shared" si="5"/>
        <v>2400000</v>
      </c>
      <c r="F16" s="6">
        <f t="shared" si="6"/>
        <v>2400000</v>
      </c>
      <c r="G16" s="6">
        <f t="shared" si="7"/>
        <v>2400000</v>
      </c>
      <c r="H16" s="6">
        <f t="shared" si="8"/>
        <v>2400000</v>
      </c>
      <c r="I16" s="38">
        <f>Presupuesto_Inversiones!D15</f>
        <v>0</v>
      </c>
      <c r="J16" s="6">
        <f t="shared" si="9"/>
        <v>0</v>
      </c>
      <c r="K16" s="6">
        <f t="shared" si="10"/>
        <v>0</v>
      </c>
      <c r="L16" s="6">
        <f t="shared" si="11"/>
        <v>0</v>
      </c>
      <c r="M16" s="6">
        <f t="shared" si="12"/>
        <v>0</v>
      </c>
      <c r="N16" s="38">
        <f>Presupuesto_Inversiones!E15</f>
        <v>0</v>
      </c>
      <c r="O16" s="6">
        <f t="shared" si="13"/>
        <v>0</v>
      </c>
      <c r="P16" s="6">
        <f t="shared" si="14"/>
        <v>0</v>
      </c>
      <c r="Q16" s="6">
        <f t="shared" si="15"/>
        <v>0</v>
      </c>
      <c r="R16" s="38">
        <f>Presupuesto_Inversiones!F15</f>
        <v>0</v>
      </c>
      <c r="S16" s="6">
        <f t="shared" si="16"/>
        <v>0</v>
      </c>
      <c r="T16" s="6">
        <f t="shared" si="17"/>
        <v>0</v>
      </c>
      <c r="U16" s="38">
        <f>Presupuesto_Inversiones!G15</f>
        <v>0</v>
      </c>
      <c r="V16" s="6">
        <f t="shared" si="18"/>
        <v>0</v>
      </c>
      <c r="W16" s="39">
        <f>Presupuesto_Inversiones!H15</f>
        <v>0</v>
      </c>
      <c r="X16" s="38">
        <f t="shared" si="1"/>
        <v>12000000</v>
      </c>
      <c r="Y16" s="6">
        <f>Presupuesto_Inversiones!J15</f>
        <v>5</v>
      </c>
      <c r="Z16" s="41">
        <f t="shared" si="19"/>
        <v>2400000</v>
      </c>
      <c r="AA16" s="41">
        <f t="shared" si="20"/>
        <v>2400000</v>
      </c>
      <c r="AB16" s="41">
        <f t="shared" si="21"/>
        <v>2400000</v>
      </c>
      <c r="AC16" s="41">
        <f t="shared" si="22"/>
        <v>2400000</v>
      </c>
      <c r="AD16" s="41">
        <f t="shared" si="23"/>
        <v>2400000</v>
      </c>
      <c r="AE16" s="35">
        <f t="shared" si="24"/>
        <v>12000000</v>
      </c>
      <c r="AF16" s="35">
        <f t="shared" si="25"/>
        <v>0</v>
      </c>
    </row>
    <row r="17" spans="1:32">
      <c r="A17" s="1"/>
      <c r="B17" s="32"/>
      <c r="C17" s="38">
        <f>Presupuesto_Inversiones!C16</f>
        <v>0</v>
      </c>
      <c r="D17" s="6">
        <f t="shared" si="4"/>
        <v>0</v>
      </c>
      <c r="E17" s="6">
        <f t="shared" si="5"/>
        <v>0</v>
      </c>
      <c r="F17" s="6">
        <f t="shared" si="6"/>
        <v>0</v>
      </c>
      <c r="G17" s="6">
        <f t="shared" si="7"/>
        <v>0</v>
      </c>
      <c r="H17" s="6">
        <f t="shared" si="8"/>
        <v>0</v>
      </c>
      <c r="I17" s="38">
        <f>Presupuesto_Inversiones!D16</f>
        <v>0</v>
      </c>
      <c r="J17" s="6">
        <f t="shared" si="9"/>
        <v>0</v>
      </c>
      <c r="K17" s="6">
        <f t="shared" si="10"/>
        <v>0</v>
      </c>
      <c r="L17" s="6">
        <f t="shared" si="11"/>
        <v>0</v>
      </c>
      <c r="M17" s="6">
        <f t="shared" si="12"/>
        <v>0</v>
      </c>
      <c r="N17" s="38">
        <f>Presupuesto_Inversiones!E16</f>
        <v>0</v>
      </c>
      <c r="O17" s="6">
        <f t="shared" si="13"/>
        <v>0</v>
      </c>
      <c r="P17" s="6">
        <f t="shared" si="14"/>
        <v>0</v>
      </c>
      <c r="Q17" s="6">
        <f t="shared" si="15"/>
        <v>0</v>
      </c>
      <c r="R17" s="38">
        <f>Presupuesto_Inversiones!F16</f>
        <v>0</v>
      </c>
      <c r="S17" s="6">
        <f t="shared" si="16"/>
        <v>0</v>
      </c>
      <c r="T17" s="6">
        <f t="shared" si="17"/>
        <v>0</v>
      </c>
      <c r="U17" s="38">
        <f>Presupuesto_Inversiones!G16</f>
        <v>0</v>
      </c>
      <c r="V17" s="6">
        <f t="shared" si="18"/>
        <v>0</v>
      </c>
      <c r="W17" s="39">
        <f>Presupuesto_Inversiones!H16</f>
        <v>0</v>
      </c>
      <c r="X17" s="38">
        <f t="shared" si="1"/>
        <v>0</v>
      </c>
      <c r="Y17" s="6">
        <f>Presupuesto_Inversiones!J16</f>
        <v>0</v>
      </c>
      <c r="Z17" s="41">
        <f t="shared" si="19"/>
        <v>0</v>
      </c>
      <c r="AA17" s="41">
        <f t="shared" si="20"/>
        <v>0</v>
      </c>
      <c r="AB17" s="41">
        <f t="shared" si="21"/>
        <v>0</v>
      </c>
      <c r="AC17" s="41">
        <f t="shared" si="22"/>
        <v>0</v>
      </c>
      <c r="AD17" s="41">
        <f t="shared" si="23"/>
        <v>0</v>
      </c>
      <c r="AE17" s="35">
        <f t="shared" si="24"/>
        <v>0</v>
      </c>
      <c r="AF17" s="35">
        <f t="shared" si="25"/>
        <v>0</v>
      </c>
    </row>
    <row r="18" spans="1:32" ht="15.75" thickBot="1">
      <c r="A18" s="9" t="s">
        <v>136</v>
      </c>
      <c r="B18" s="64"/>
      <c r="C18" s="65">
        <f>SUM(C6:C17)</f>
        <v>773900000</v>
      </c>
      <c r="D18" s="66">
        <f t="shared" ref="D18:X18" si="26">SUM(D6:D17)</f>
        <v>121572222.22222222</v>
      </c>
      <c r="E18" s="66">
        <f t="shared" si="26"/>
        <v>31572222.222222224</v>
      </c>
      <c r="F18" s="66">
        <f t="shared" si="26"/>
        <v>31572222.222222224</v>
      </c>
      <c r="G18" s="66">
        <f t="shared" si="26"/>
        <v>24772222.222222224</v>
      </c>
      <c r="H18" s="67">
        <f t="shared" si="26"/>
        <v>24772222.222222224</v>
      </c>
      <c r="I18" s="65">
        <f t="shared" si="26"/>
        <v>0</v>
      </c>
      <c r="J18" s="66">
        <f t="shared" si="26"/>
        <v>0</v>
      </c>
      <c r="K18" s="66">
        <f t="shared" si="26"/>
        <v>0</v>
      </c>
      <c r="L18" s="66">
        <f t="shared" si="26"/>
        <v>0</v>
      </c>
      <c r="M18" s="67">
        <f t="shared" si="26"/>
        <v>0</v>
      </c>
      <c r="N18" s="65">
        <f t="shared" si="26"/>
        <v>0</v>
      </c>
      <c r="O18" s="66">
        <f t="shared" si="26"/>
        <v>0</v>
      </c>
      <c r="P18" s="66">
        <f t="shared" si="26"/>
        <v>0</v>
      </c>
      <c r="Q18" s="67">
        <f t="shared" si="26"/>
        <v>0</v>
      </c>
      <c r="R18" s="65">
        <f t="shared" si="26"/>
        <v>0</v>
      </c>
      <c r="S18" s="66">
        <f t="shared" si="26"/>
        <v>0</v>
      </c>
      <c r="T18" s="67">
        <f t="shared" si="26"/>
        <v>0</v>
      </c>
      <c r="U18" s="65">
        <f t="shared" si="26"/>
        <v>0</v>
      </c>
      <c r="V18" s="67">
        <f t="shared" si="26"/>
        <v>0</v>
      </c>
      <c r="W18" s="68">
        <f t="shared" si="26"/>
        <v>0</v>
      </c>
      <c r="X18" s="65">
        <f t="shared" si="26"/>
        <v>773900000</v>
      </c>
      <c r="Y18" s="66" t="s">
        <v>19</v>
      </c>
      <c r="Z18" s="69">
        <f t="shared" ref="Z18" si="27">SUM(Z6:Z17)</f>
        <v>121572222.22222222</v>
      </c>
      <c r="AA18" s="69">
        <f t="shared" ref="AA18" si="28">SUM(AA6:AA17)</f>
        <v>31572222.222222224</v>
      </c>
      <c r="AB18" s="69">
        <f t="shared" ref="AB18" si="29">SUM(AB6:AB17)</f>
        <v>31572222.222222224</v>
      </c>
      <c r="AC18" s="69">
        <f t="shared" ref="AC18" si="30">SUM(AC6:AC17)</f>
        <v>24772222.222222224</v>
      </c>
      <c r="AD18" s="69">
        <f t="shared" ref="AD18" si="31">SUM(AD6:AD17)</f>
        <v>24772222.222222224</v>
      </c>
      <c r="AE18" s="67">
        <f>AE5</f>
        <v>234261111.1111111</v>
      </c>
      <c r="AF18" s="67">
        <f>AF5</f>
        <v>539638888.88888884</v>
      </c>
    </row>
  </sheetData>
  <mergeCells count="6">
    <mergeCell ref="U3:V3"/>
    <mergeCell ref="A4:B4"/>
    <mergeCell ref="C3:H3"/>
    <mergeCell ref="I3:M3"/>
    <mergeCell ref="N3:Q3"/>
    <mergeCell ref="R3:T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showGridLines="0" workbookViewId="0">
      <selection sqref="A1:M2"/>
    </sheetView>
  </sheetViews>
  <sheetFormatPr baseColWidth="10" defaultColWidth="9.140625" defaultRowHeight="15"/>
  <cols>
    <col min="1" max="1" width="32.140625" bestFit="1" customWidth="1"/>
    <col min="2" max="2" width="9" customWidth="1"/>
    <col min="3" max="3" width="13.140625" bestFit="1" customWidth="1"/>
    <col min="4" max="8" width="14.140625" bestFit="1" customWidth="1"/>
    <col min="9" max="13" width="20.28515625" bestFit="1" customWidth="1"/>
    <col min="14" max="17" width="13.85546875" customWidth="1"/>
  </cols>
  <sheetData>
    <row r="1" spans="1:13">
      <c r="A1" s="91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42.75">
      <c r="A3" s="70" t="s">
        <v>0</v>
      </c>
      <c r="B3" s="70" t="s">
        <v>1</v>
      </c>
      <c r="C3" s="70" t="s">
        <v>27</v>
      </c>
      <c r="D3" s="70" t="s">
        <v>2</v>
      </c>
      <c r="E3" s="70" t="s">
        <v>3</v>
      </c>
      <c r="F3" s="70" t="s">
        <v>172</v>
      </c>
      <c r="G3" s="70" t="s">
        <v>4</v>
      </c>
      <c r="H3" s="70" t="s">
        <v>173</v>
      </c>
      <c r="I3" s="70" t="s">
        <v>24</v>
      </c>
      <c r="J3" s="70" t="s">
        <v>25</v>
      </c>
      <c r="K3" s="70" t="s">
        <v>174</v>
      </c>
      <c r="L3" s="70" t="s">
        <v>26</v>
      </c>
      <c r="M3" s="70" t="s">
        <v>175</v>
      </c>
    </row>
    <row r="4" spans="1:13">
      <c r="A4" s="1" t="s">
        <v>177</v>
      </c>
      <c r="B4" s="13" t="s">
        <v>165</v>
      </c>
      <c r="C4" s="13">
        <v>25000</v>
      </c>
      <c r="D4" s="13">
        <f>2390*12</f>
        <v>28680</v>
      </c>
      <c r="E4" s="13">
        <f>D4*1.02</f>
        <v>29253.600000000002</v>
      </c>
      <c r="F4" s="13">
        <f t="shared" ref="F4:H4" si="0">E4*1.02</f>
        <v>29838.672000000002</v>
      </c>
      <c r="G4" s="13">
        <f t="shared" si="0"/>
        <v>30435.445440000003</v>
      </c>
      <c r="H4" s="13">
        <f t="shared" si="0"/>
        <v>31044.154348800002</v>
      </c>
      <c r="I4" s="12">
        <f>$C$4*D4</f>
        <v>717000000</v>
      </c>
      <c r="J4" s="12">
        <f t="shared" ref="J4:M4" si="1">$C$4*E4</f>
        <v>731340000</v>
      </c>
      <c r="K4" s="12">
        <f t="shared" si="1"/>
        <v>745966800</v>
      </c>
      <c r="L4" s="12">
        <f t="shared" si="1"/>
        <v>760886136.00000012</v>
      </c>
      <c r="M4" s="12">
        <f t="shared" si="1"/>
        <v>776103858.72000003</v>
      </c>
    </row>
    <row r="5" spans="1:13">
      <c r="A5" s="1"/>
      <c r="B5" s="13"/>
      <c r="C5" s="5"/>
      <c r="D5" s="5"/>
      <c r="E5" s="5"/>
      <c r="F5" s="5"/>
      <c r="G5" s="5"/>
      <c r="H5" s="5"/>
      <c r="I5" s="12">
        <f>$C$5*D5</f>
        <v>0</v>
      </c>
      <c r="J5" s="12">
        <f t="shared" ref="J5:M5" si="2">$C$5*E5</f>
        <v>0</v>
      </c>
      <c r="K5" s="12">
        <f t="shared" si="2"/>
        <v>0</v>
      </c>
      <c r="L5" s="12">
        <f t="shared" si="2"/>
        <v>0</v>
      </c>
      <c r="M5" s="12">
        <f t="shared" si="2"/>
        <v>0</v>
      </c>
    </row>
    <row r="6" spans="1:13">
      <c r="A6" s="1"/>
      <c r="B6" s="13"/>
      <c r="C6" s="5"/>
      <c r="D6" s="5"/>
      <c r="E6" s="5"/>
      <c r="F6" s="5"/>
      <c r="G6" s="5"/>
      <c r="H6" s="5"/>
      <c r="I6" s="12">
        <f>$C$6*D6</f>
        <v>0</v>
      </c>
      <c r="J6" s="12">
        <f t="shared" ref="J6:M6" si="3">$C$6*E6</f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</row>
    <row r="7" spans="1:13">
      <c r="A7" s="1"/>
      <c r="B7" s="13"/>
      <c r="C7" s="5"/>
      <c r="D7" s="5"/>
      <c r="E7" s="5"/>
      <c r="F7" s="5"/>
      <c r="G7" s="5"/>
      <c r="H7" s="5"/>
      <c r="I7" s="12">
        <f>$C$7*D7</f>
        <v>0</v>
      </c>
      <c r="J7" s="12">
        <f t="shared" ref="J7:M7" si="4">$C$7*E7</f>
        <v>0</v>
      </c>
      <c r="K7" s="12">
        <f t="shared" si="4"/>
        <v>0</v>
      </c>
      <c r="L7" s="12">
        <f t="shared" si="4"/>
        <v>0</v>
      </c>
      <c r="M7" s="12">
        <f t="shared" si="4"/>
        <v>0</v>
      </c>
    </row>
    <row r="8" spans="1:13">
      <c r="A8" s="20"/>
      <c r="B8" s="13"/>
      <c r="C8" s="5"/>
      <c r="D8" s="5"/>
      <c r="E8" s="5"/>
      <c r="F8" s="5"/>
      <c r="G8" s="5"/>
      <c r="H8" s="5"/>
      <c r="I8" s="12">
        <f>$C$8*D8</f>
        <v>0</v>
      </c>
      <c r="J8" s="12">
        <f t="shared" ref="J8:M8" si="5">$C$8*E8</f>
        <v>0</v>
      </c>
      <c r="K8" s="12">
        <f t="shared" si="5"/>
        <v>0</v>
      </c>
      <c r="L8" s="12">
        <f t="shared" si="5"/>
        <v>0</v>
      </c>
      <c r="M8" s="12">
        <f t="shared" si="5"/>
        <v>0</v>
      </c>
    </row>
    <row r="9" spans="1:13">
      <c r="A9" s="21"/>
      <c r="B9" s="5"/>
      <c r="C9" s="5"/>
      <c r="D9" s="5"/>
      <c r="E9" s="5"/>
      <c r="F9" s="5"/>
      <c r="G9" s="5"/>
      <c r="H9" s="5"/>
      <c r="I9" s="12">
        <f>$C$9*D9</f>
        <v>0</v>
      </c>
      <c r="J9" s="12">
        <f t="shared" ref="J9:M9" si="6">$C$9*E9</f>
        <v>0</v>
      </c>
      <c r="K9" s="12">
        <f t="shared" si="6"/>
        <v>0</v>
      </c>
      <c r="L9" s="12">
        <f t="shared" si="6"/>
        <v>0</v>
      </c>
      <c r="M9" s="12">
        <f t="shared" si="6"/>
        <v>0</v>
      </c>
    </row>
    <row r="10" spans="1:13">
      <c r="A10" s="21"/>
      <c r="B10" s="5"/>
      <c r="C10" s="5"/>
      <c r="D10" s="5"/>
      <c r="E10" s="5"/>
      <c r="F10" s="5"/>
      <c r="G10" s="5"/>
      <c r="H10" s="5"/>
      <c r="I10" s="12">
        <f>$C$10*D10</f>
        <v>0</v>
      </c>
      <c r="J10" s="12">
        <f t="shared" ref="J10:M10" si="7">$C$10*E10</f>
        <v>0</v>
      </c>
      <c r="K10" s="12">
        <f t="shared" si="7"/>
        <v>0</v>
      </c>
      <c r="L10" s="12">
        <f t="shared" si="7"/>
        <v>0</v>
      </c>
      <c r="M10" s="12">
        <f t="shared" si="7"/>
        <v>0</v>
      </c>
    </row>
    <row r="11" spans="1:13">
      <c r="A11" s="21"/>
      <c r="B11" s="5"/>
      <c r="C11" s="5"/>
      <c r="D11" s="5"/>
      <c r="E11" s="5"/>
      <c r="F11" s="5"/>
      <c r="G11" s="5"/>
      <c r="H11" s="5"/>
      <c r="I11" s="12">
        <f>$C$11*D11</f>
        <v>0</v>
      </c>
      <c r="J11" s="12">
        <f t="shared" ref="J11:M11" si="8">$C$11*E11</f>
        <v>0</v>
      </c>
      <c r="K11" s="12">
        <f t="shared" si="8"/>
        <v>0</v>
      </c>
      <c r="L11" s="12">
        <f t="shared" si="8"/>
        <v>0</v>
      </c>
      <c r="M11" s="12">
        <f t="shared" si="8"/>
        <v>0</v>
      </c>
    </row>
    <row r="12" spans="1:13">
      <c r="A12" s="21"/>
      <c r="B12" s="5"/>
      <c r="C12" s="5"/>
      <c r="D12" s="5"/>
      <c r="E12" s="5"/>
      <c r="F12" s="5"/>
      <c r="G12" s="5"/>
      <c r="H12" s="5"/>
      <c r="I12" s="12">
        <f>$C$12*D12</f>
        <v>0</v>
      </c>
      <c r="J12" s="12">
        <f t="shared" ref="J12:M12" si="9">$C$12*E12</f>
        <v>0</v>
      </c>
      <c r="K12" s="12">
        <f t="shared" si="9"/>
        <v>0</v>
      </c>
      <c r="L12" s="12">
        <f t="shared" si="9"/>
        <v>0</v>
      </c>
      <c r="M12" s="12">
        <f t="shared" si="9"/>
        <v>0</v>
      </c>
    </row>
    <row r="13" spans="1:13">
      <c r="A13" s="21"/>
      <c r="B13" s="5"/>
      <c r="C13" s="5"/>
      <c r="D13" s="5"/>
      <c r="E13" s="5"/>
      <c r="F13" s="5"/>
      <c r="G13" s="5"/>
      <c r="H13" s="5"/>
      <c r="I13" s="12">
        <f>$C$13*D13</f>
        <v>0</v>
      </c>
      <c r="J13" s="12">
        <f t="shared" ref="J13:M13" si="10">$C$13*E13</f>
        <v>0</v>
      </c>
      <c r="K13" s="12">
        <f t="shared" si="10"/>
        <v>0</v>
      </c>
      <c r="L13" s="12">
        <f t="shared" si="10"/>
        <v>0</v>
      </c>
      <c r="M13" s="12">
        <f t="shared" si="10"/>
        <v>0</v>
      </c>
    </row>
    <row r="14" spans="1:13">
      <c r="A14" s="49" t="s">
        <v>5</v>
      </c>
      <c r="B14" s="50" t="s">
        <v>19</v>
      </c>
      <c r="C14" s="50" t="s">
        <v>19</v>
      </c>
      <c r="D14" s="50">
        <f t="shared" ref="D14:H14" si="11">SUM(D4:D13)</f>
        <v>28680</v>
      </c>
      <c r="E14" s="50">
        <f t="shared" si="11"/>
        <v>29253.600000000002</v>
      </c>
      <c r="F14" s="50">
        <f t="shared" si="11"/>
        <v>29838.672000000002</v>
      </c>
      <c r="G14" s="50">
        <f t="shared" si="11"/>
        <v>30435.445440000003</v>
      </c>
      <c r="H14" s="50">
        <f t="shared" si="11"/>
        <v>31044.154348800002</v>
      </c>
      <c r="I14" s="50">
        <f t="shared" ref="I14:M14" si="12">SUM(I4:I13)</f>
        <v>717000000</v>
      </c>
      <c r="J14" s="50">
        <f t="shared" si="12"/>
        <v>731340000</v>
      </c>
      <c r="K14" s="50">
        <f t="shared" si="12"/>
        <v>745966800</v>
      </c>
      <c r="L14" s="50">
        <f t="shared" si="12"/>
        <v>760886136.00000012</v>
      </c>
      <c r="M14" s="50">
        <f t="shared" si="12"/>
        <v>776103858.72000003</v>
      </c>
    </row>
    <row r="16" spans="1:13">
      <c r="H16" s="42"/>
    </row>
    <row r="17" spans="6:6">
      <c r="F17" s="42">
        <f>+D4+E4+F4+G4+H4</f>
        <v>149251.8717888</v>
      </c>
    </row>
  </sheetData>
  <mergeCells count="1">
    <mergeCell ref="A1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4"/>
  <sheetViews>
    <sheetView showGridLines="0" topLeftCell="A2" zoomScaleNormal="100" workbookViewId="0">
      <selection activeCell="I7" sqref="I7"/>
    </sheetView>
  </sheetViews>
  <sheetFormatPr baseColWidth="10" defaultColWidth="9.140625" defaultRowHeight="15"/>
  <cols>
    <col min="1" max="1" width="36" bestFit="1" customWidth="1"/>
    <col min="2" max="2" width="11.28515625" bestFit="1" customWidth="1"/>
    <col min="3" max="3" width="14.5703125" bestFit="1" customWidth="1"/>
    <col min="4" max="4" width="14" bestFit="1" customWidth="1"/>
    <col min="5" max="6" width="15" bestFit="1" customWidth="1"/>
    <col min="7" max="7" width="10.5703125" customWidth="1"/>
    <col min="8" max="8" width="14.5703125" bestFit="1" customWidth="1"/>
    <col min="9" max="9" width="12.7109375" customWidth="1"/>
    <col min="10" max="10" width="13" customWidth="1"/>
    <col min="11" max="15" width="14.140625" bestFit="1" customWidth="1"/>
    <col min="16" max="19" width="19" bestFit="1" customWidth="1"/>
    <col min="20" max="20" width="18.5703125" bestFit="1" customWidth="1"/>
  </cols>
  <sheetData>
    <row r="1" spans="1:20" ht="27" customHeight="1">
      <c r="A1" s="93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63.75">
      <c r="A3" s="70" t="s">
        <v>0</v>
      </c>
      <c r="B3" s="70" t="s">
        <v>1</v>
      </c>
      <c r="C3" s="70" t="s">
        <v>28</v>
      </c>
      <c r="D3" s="71" t="s">
        <v>119</v>
      </c>
      <c r="E3" s="70" t="s">
        <v>31</v>
      </c>
      <c r="F3" s="70" t="s">
        <v>32</v>
      </c>
      <c r="G3" s="70" t="s">
        <v>41</v>
      </c>
      <c r="H3" s="70" t="s">
        <v>29</v>
      </c>
      <c r="I3" s="70" t="s">
        <v>30</v>
      </c>
      <c r="J3" s="71" t="s">
        <v>120</v>
      </c>
      <c r="K3" s="70" t="s">
        <v>2</v>
      </c>
      <c r="L3" s="70" t="s">
        <v>3</v>
      </c>
      <c r="M3" s="70" t="s">
        <v>172</v>
      </c>
      <c r="N3" s="70" t="s">
        <v>4</v>
      </c>
      <c r="O3" s="70" t="s">
        <v>173</v>
      </c>
      <c r="P3" s="70" t="s">
        <v>33</v>
      </c>
      <c r="Q3" s="70" t="s">
        <v>34</v>
      </c>
      <c r="R3" s="70" t="s">
        <v>35</v>
      </c>
      <c r="S3" s="70" t="s">
        <v>36</v>
      </c>
      <c r="T3" s="70" t="s">
        <v>37</v>
      </c>
    </row>
    <row r="4" spans="1:20">
      <c r="A4" s="26" t="str">
        <f>IF(Presupuesto_Ventas!A4&lt;&gt;"",Presupuesto_Ventas!A4,"")</f>
        <v>boleteria + snacks</v>
      </c>
      <c r="B4" s="12" t="str">
        <f>Presupuesto_Ventas!B4</f>
        <v xml:space="preserve">unidad  </v>
      </c>
      <c r="C4" s="12">
        <v>25000</v>
      </c>
      <c r="D4" s="12"/>
      <c r="E4" s="13">
        <v>14000</v>
      </c>
      <c r="F4" s="13">
        <v>3500</v>
      </c>
      <c r="G4" s="13"/>
      <c r="H4" s="12"/>
      <c r="I4" s="14">
        <v>0.3</v>
      </c>
      <c r="J4" s="14">
        <f>IFERROR(I4*K4/$K$14,0)</f>
        <v>0.3</v>
      </c>
      <c r="K4" s="12">
        <f>Presupuesto_Ventas!D4</f>
        <v>28680</v>
      </c>
      <c r="L4" s="12">
        <f>Presupuesto_Ventas!E4</f>
        <v>29253.600000000002</v>
      </c>
      <c r="M4" s="12">
        <f>Presupuesto_Ventas!F4</f>
        <v>29838.672000000002</v>
      </c>
      <c r="N4" s="12">
        <f>Presupuesto_Ventas!G4</f>
        <v>30435.445440000003</v>
      </c>
      <c r="O4" s="12">
        <f>Presupuesto_Ventas!H4</f>
        <v>31044.154348800002</v>
      </c>
      <c r="P4" s="12">
        <f>$H4*K4</f>
        <v>0</v>
      </c>
      <c r="Q4" s="12">
        <f>$H4*L4</f>
        <v>0</v>
      </c>
      <c r="R4" s="12">
        <f>$H4*M4</f>
        <v>0</v>
      </c>
      <c r="S4" s="12">
        <f>$H4*N4</f>
        <v>0</v>
      </c>
      <c r="T4" s="12">
        <f>$H4*O4</f>
        <v>0</v>
      </c>
    </row>
    <row r="5" spans="1:20">
      <c r="A5" s="26" t="str">
        <f>IF(Presupuesto_Ventas!A5&lt;&gt;"",Presupuesto_Ventas!A5,"")</f>
        <v/>
      </c>
      <c r="B5" s="12"/>
      <c r="C5" s="12"/>
      <c r="D5" s="12"/>
      <c r="E5" s="5"/>
      <c r="F5" s="5"/>
      <c r="G5" s="13"/>
      <c r="H5" s="12">
        <f t="shared" ref="H5:H13" si="0">E5+F5+G5</f>
        <v>0</v>
      </c>
      <c r="I5" s="14" t="str">
        <f t="shared" ref="I5:I13" si="1">IFERROR(1-(H5/C5), "")</f>
        <v/>
      </c>
      <c r="J5" s="14">
        <f t="shared" ref="J5:J13" si="2">IFERROR(I5*K5/$K$14,0)</f>
        <v>0</v>
      </c>
      <c r="K5" s="12">
        <f>Presupuesto_Ventas!D5</f>
        <v>0</v>
      </c>
      <c r="L5" s="12">
        <f>Presupuesto_Ventas!E5</f>
        <v>0</v>
      </c>
      <c r="M5" s="12">
        <f>Presupuesto_Ventas!F5</f>
        <v>0</v>
      </c>
      <c r="N5" s="12">
        <f>Presupuesto_Ventas!G5</f>
        <v>0</v>
      </c>
      <c r="O5" s="12">
        <f>Presupuesto_Ventas!H5</f>
        <v>0</v>
      </c>
      <c r="P5" s="12">
        <f t="shared" ref="P5:P13" si="3">$H5*K5</f>
        <v>0</v>
      </c>
      <c r="Q5" s="12">
        <f t="shared" ref="Q5:Q13" si="4">$H5*L5</f>
        <v>0</v>
      </c>
      <c r="R5" s="12">
        <f t="shared" ref="R5:R13" si="5">$H5*M5</f>
        <v>0</v>
      </c>
      <c r="S5" s="12">
        <f t="shared" ref="S5:S13" si="6">$H5*N5</f>
        <v>0</v>
      </c>
      <c r="T5" s="12">
        <f t="shared" ref="T5:T13" si="7">$H5*O5</f>
        <v>0</v>
      </c>
    </row>
    <row r="6" spans="1:20">
      <c r="A6" s="26" t="str">
        <f>IF(Presupuesto_Ventas!A6&lt;&gt;"",Presupuesto_Ventas!A6,"")</f>
        <v/>
      </c>
      <c r="B6" s="12"/>
      <c r="C6" s="12"/>
      <c r="D6" s="12"/>
      <c r="E6" s="5"/>
      <c r="F6" s="5"/>
      <c r="G6" s="13"/>
      <c r="H6" s="12">
        <f t="shared" si="0"/>
        <v>0</v>
      </c>
      <c r="I6" s="14" t="str">
        <f t="shared" si="1"/>
        <v/>
      </c>
      <c r="J6" s="14">
        <f t="shared" si="2"/>
        <v>0</v>
      </c>
      <c r="K6" s="12">
        <f>Presupuesto_Ventas!D6</f>
        <v>0</v>
      </c>
      <c r="L6" s="12">
        <f>Presupuesto_Ventas!E6</f>
        <v>0</v>
      </c>
      <c r="M6" s="12">
        <f>Presupuesto_Ventas!F6</f>
        <v>0</v>
      </c>
      <c r="N6" s="12">
        <f>Presupuesto_Ventas!G6</f>
        <v>0</v>
      </c>
      <c r="O6" s="12">
        <f>Presupuesto_Ventas!H6</f>
        <v>0</v>
      </c>
      <c r="P6" s="12">
        <f t="shared" si="3"/>
        <v>0</v>
      </c>
      <c r="Q6" s="12">
        <f t="shared" si="4"/>
        <v>0</v>
      </c>
      <c r="R6" s="12">
        <f t="shared" si="5"/>
        <v>0</v>
      </c>
      <c r="S6" s="12">
        <f t="shared" si="6"/>
        <v>0</v>
      </c>
      <c r="T6" s="12">
        <f t="shared" si="7"/>
        <v>0</v>
      </c>
    </row>
    <row r="7" spans="1:20">
      <c r="A7" s="26" t="str">
        <f>IF(Presupuesto_Ventas!A7&lt;&gt;"",Presupuesto_Ventas!A7,"")</f>
        <v/>
      </c>
      <c r="B7" s="12"/>
      <c r="C7" s="12"/>
      <c r="D7" s="12"/>
      <c r="E7" s="5"/>
      <c r="F7" s="5"/>
      <c r="G7" s="5"/>
      <c r="H7" s="12">
        <f t="shared" si="0"/>
        <v>0</v>
      </c>
      <c r="I7" s="14" t="str">
        <f t="shared" si="1"/>
        <v/>
      </c>
      <c r="J7" s="14">
        <f t="shared" si="2"/>
        <v>0</v>
      </c>
      <c r="K7" s="12">
        <f>Presupuesto_Ventas!D7</f>
        <v>0</v>
      </c>
      <c r="L7" s="12">
        <f>Presupuesto_Ventas!E7</f>
        <v>0</v>
      </c>
      <c r="M7" s="12">
        <f>Presupuesto_Ventas!F7</f>
        <v>0</v>
      </c>
      <c r="N7" s="12">
        <f>Presupuesto_Ventas!G7</f>
        <v>0</v>
      </c>
      <c r="O7" s="12">
        <f>Presupuesto_Ventas!H7</f>
        <v>0</v>
      </c>
      <c r="P7" s="12">
        <f t="shared" si="3"/>
        <v>0</v>
      </c>
      <c r="Q7" s="12">
        <f t="shared" si="4"/>
        <v>0</v>
      </c>
      <c r="R7" s="12">
        <f t="shared" si="5"/>
        <v>0</v>
      </c>
      <c r="S7" s="12">
        <f t="shared" si="6"/>
        <v>0</v>
      </c>
      <c r="T7" s="12">
        <f t="shared" si="7"/>
        <v>0</v>
      </c>
    </row>
    <row r="8" spans="1:20">
      <c r="A8" s="26" t="str">
        <f>IF(Presupuesto_Ventas!A8&lt;&gt;"",Presupuesto_Ventas!A8,"")</f>
        <v/>
      </c>
      <c r="B8" s="12"/>
      <c r="C8" s="12"/>
      <c r="D8" s="12"/>
      <c r="E8" s="5"/>
      <c r="F8" s="5"/>
      <c r="G8" s="5"/>
      <c r="H8" s="12">
        <f t="shared" si="0"/>
        <v>0</v>
      </c>
      <c r="I8" s="14" t="str">
        <f t="shared" si="1"/>
        <v/>
      </c>
      <c r="J8" s="14">
        <f t="shared" si="2"/>
        <v>0</v>
      </c>
      <c r="K8" s="12">
        <f>Presupuesto_Ventas!D8</f>
        <v>0</v>
      </c>
      <c r="L8" s="12">
        <f>Presupuesto_Ventas!E8</f>
        <v>0</v>
      </c>
      <c r="M8" s="12">
        <f>Presupuesto_Ventas!F8</f>
        <v>0</v>
      </c>
      <c r="N8" s="12">
        <f>Presupuesto_Ventas!G8</f>
        <v>0</v>
      </c>
      <c r="O8" s="12">
        <f>Presupuesto_Ventas!H8</f>
        <v>0</v>
      </c>
      <c r="P8" s="12">
        <f t="shared" si="3"/>
        <v>0</v>
      </c>
      <c r="Q8" s="12">
        <f t="shared" si="4"/>
        <v>0</v>
      </c>
      <c r="R8" s="12">
        <f t="shared" si="5"/>
        <v>0</v>
      </c>
      <c r="S8" s="12">
        <f t="shared" si="6"/>
        <v>0</v>
      </c>
      <c r="T8" s="12">
        <f t="shared" si="7"/>
        <v>0</v>
      </c>
    </row>
    <row r="9" spans="1:20">
      <c r="A9" s="26" t="str">
        <f>IF(Presupuesto_Ventas!A9&lt;&gt;"",Presupuesto_Ventas!A9,"")</f>
        <v/>
      </c>
      <c r="B9" s="12"/>
      <c r="C9" s="12"/>
      <c r="D9" s="12"/>
      <c r="E9" s="5"/>
      <c r="F9" s="5"/>
      <c r="G9" s="5"/>
      <c r="H9" s="12">
        <f t="shared" si="0"/>
        <v>0</v>
      </c>
      <c r="I9" s="14" t="str">
        <f t="shared" si="1"/>
        <v/>
      </c>
      <c r="J9" s="14">
        <f t="shared" si="2"/>
        <v>0</v>
      </c>
      <c r="K9" s="12">
        <f>Presupuesto_Ventas!D9</f>
        <v>0</v>
      </c>
      <c r="L9" s="12">
        <f>Presupuesto_Ventas!E9</f>
        <v>0</v>
      </c>
      <c r="M9" s="12">
        <f>Presupuesto_Ventas!F9</f>
        <v>0</v>
      </c>
      <c r="N9" s="12">
        <f>Presupuesto_Ventas!G9</f>
        <v>0</v>
      </c>
      <c r="O9" s="12">
        <f>Presupuesto_Ventas!H9</f>
        <v>0</v>
      </c>
      <c r="P9" s="12">
        <f t="shared" si="3"/>
        <v>0</v>
      </c>
      <c r="Q9" s="12">
        <f t="shared" si="4"/>
        <v>0</v>
      </c>
      <c r="R9" s="12">
        <f t="shared" si="5"/>
        <v>0</v>
      </c>
      <c r="S9" s="12">
        <f t="shared" si="6"/>
        <v>0</v>
      </c>
      <c r="T9" s="12">
        <f t="shared" si="7"/>
        <v>0</v>
      </c>
    </row>
    <row r="10" spans="1:20">
      <c r="A10" s="26" t="str">
        <f>IF(Presupuesto_Ventas!A10&lt;&gt;"",Presupuesto_Ventas!A10,"")</f>
        <v/>
      </c>
      <c r="B10" s="12">
        <f>Presupuesto_Ventas!B10</f>
        <v>0</v>
      </c>
      <c r="C10" s="12">
        <f>Presupuesto_Ventas!C10</f>
        <v>0</v>
      </c>
      <c r="D10" s="12">
        <f t="shared" ref="D5:D13" si="8">IFERROR(C10*K10/$K$14,0)</f>
        <v>0</v>
      </c>
      <c r="E10" s="5"/>
      <c r="F10" s="5"/>
      <c r="G10" s="5"/>
      <c r="H10" s="12">
        <f t="shared" si="0"/>
        <v>0</v>
      </c>
      <c r="I10" s="14" t="str">
        <f t="shared" si="1"/>
        <v/>
      </c>
      <c r="J10" s="14">
        <f t="shared" si="2"/>
        <v>0</v>
      </c>
      <c r="K10" s="12">
        <f>Presupuesto_Ventas!D10</f>
        <v>0</v>
      </c>
      <c r="L10" s="12">
        <f>Presupuesto_Ventas!E10</f>
        <v>0</v>
      </c>
      <c r="M10" s="12">
        <f>Presupuesto_Ventas!F10</f>
        <v>0</v>
      </c>
      <c r="N10" s="12">
        <f>Presupuesto_Ventas!G10</f>
        <v>0</v>
      </c>
      <c r="O10" s="12">
        <f>Presupuesto_Ventas!H10</f>
        <v>0</v>
      </c>
      <c r="P10" s="12">
        <f t="shared" si="3"/>
        <v>0</v>
      </c>
      <c r="Q10" s="12">
        <f t="shared" si="4"/>
        <v>0</v>
      </c>
      <c r="R10" s="12">
        <f t="shared" si="5"/>
        <v>0</v>
      </c>
      <c r="S10" s="12">
        <f t="shared" si="6"/>
        <v>0</v>
      </c>
      <c r="T10" s="12">
        <f t="shared" si="7"/>
        <v>0</v>
      </c>
    </row>
    <row r="11" spans="1:20">
      <c r="A11" s="26" t="str">
        <f>IF(Presupuesto_Ventas!A11&lt;&gt;"",Presupuesto_Ventas!A11,"")</f>
        <v/>
      </c>
      <c r="B11" s="12">
        <f>Presupuesto_Ventas!B11</f>
        <v>0</v>
      </c>
      <c r="C11" s="12">
        <f>Presupuesto_Ventas!C11</f>
        <v>0</v>
      </c>
      <c r="D11" s="12">
        <f t="shared" si="8"/>
        <v>0</v>
      </c>
      <c r="E11" s="5"/>
      <c r="F11" s="5"/>
      <c r="G11" s="5"/>
      <c r="H11" s="12">
        <f t="shared" si="0"/>
        <v>0</v>
      </c>
      <c r="I11" s="14" t="str">
        <f t="shared" si="1"/>
        <v/>
      </c>
      <c r="J11" s="14">
        <f t="shared" si="2"/>
        <v>0</v>
      </c>
      <c r="K11" s="12">
        <f>Presupuesto_Ventas!D11</f>
        <v>0</v>
      </c>
      <c r="L11" s="12">
        <f>Presupuesto_Ventas!E11</f>
        <v>0</v>
      </c>
      <c r="M11" s="12">
        <f>Presupuesto_Ventas!F11</f>
        <v>0</v>
      </c>
      <c r="N11" s="12">
        <f>Presupuesto_Ventas!G11</f>
        <v>0</v>
      </c>
      <c r="O11" s="12">
        <f>Presupuesto_Ventas!H11</f>
        <v>0</v>
      </c>
      <c r="P11" s="12">
        <f t="shared" si="3"/>
        <v>0</v>
      </c>
      <c r="Q11" s="12">
        <f t="shared" si="4"/>
        <v>0</v>
      </c>
      <c r="R11" s="12">
        <f t="shared" si="5"/>
        <v>0</v>
      </c>
      <c r="S11" s="12">
        <f t="shared" si="6"/>
        <v>0</v>
      </c>
      <c r="T11" s="12">
        <f t="shared" si="7"/>
        <v>0</v>
      </c>
    </row>
    <row r="12" spans="1:20">
      <c r="A12" s="26" t="str">
        <f>IF(Presupuesto_Ventas!A12&lt;&gt;"",Presupuesto_Ventas!A12,"")</f>
        <v/>
      </c>
      <c r="B12" s="12">
        <f>Presupuesto_Ventas!B12</f>
        <v>0</v>
      </c>
      <c r="C12" s="12">
        <f>Presupuesto_Ventas!C12</f>
        <v>0</v>
      </c>
      <c r="D12" s="12">
        <f t="shared" si="8"/>
        <v>0</v>
      </c>
      <c r="E12" s="5"/>
      <c r="F12" s="5"/>
      <c r="G12" s="5"/>
      <c r="H12" s="12">
        <f t="shared" si="0"/>
        <v>0</v>
      </c>
      <c r="I12" s="14" t="str">
        <f t="shared" si="1"/>
        <v/>
      </c>
      <c r="J12" s="14">
        <f t="shared" si="2"/>
        <v>0</v>
      </c>
      <c r="K12" s="12">
        <f>Presupuesto_Ventas!D12</f>
        <v>0</v>
      </c>
      <c r="L12" s="12">
        <f>Presupuesto_Ventas!E12</f>
        <v>0</v>
      </c>
      <c r="M12" s="12">
        <f>Presupuesto_Ventas!F12</f>
        <v>0</v>
      </c>
      <c r="N12" s="12">
        <f>Presupuesto_Ventas!G12</f>
        <v>0</v>
      </c>
      <c r="O12" s="12">
        <f>Presupuesto_Ventas!H12</f>
        <v>0</v>
      </c>
      <c r="P12" s="12">
        <f t="shared" si="3"/>
        <v>0</v>
      </c>
      <c r="Q12" s="12">
        <f t="shared" si="4"/>
        <v>0</v>
      </c>
      <c r="R12" s="12">
        <f t="shared" si="5"/>
        <v>0</v>
      </c>
      <c r="S12" s="12">
        <f t="shared" si="6"/>
        <v>0</v>
      </c>
      <c r="T12" s="12">
        <f t="shared" si="7"/>
        <v>0</v>
      </c>
    </row>
    <row r="13" spans="1:20">
      <c r="A13" s="26" t="str">
        <f>IF(Presupuesto_Ventas!A13&lt;&gt;"",Presupuesto_Ventas!A13,"")</f>
        <v/>
      </c>
      <c r="B13" s="12">
        <f>Presupuesto_Ventas!B13</f>
        <v>0</v>
      </c>
      <c r="C13" s="12">
        <f>Presupuesto_Ventas!C13</f>
        <v>0</v>
      </c>
      <c r="D13" s="12">
        <f t="shared" si="8"/>
        <v>0</v>
      </c>
      <c r="E13" s="5"/>
      <c r="F13" s="5"/>
      <c r="G13" s="5"/>
      <c r="H13" s="12">
        <f t="shared" si="0"/>
        <v>0</v>
      </c>
      <c r="I13" s="14" t="str">
        <f t="shared" si="1"/>
        <v/>
      </c>
      <c r="J13" s="14">
        <f t="shared" si="2"/>
        <v>0</v>
      </c>
      <c r="K13" s="12">
        <f>Presupuesto_Ventas!D13</f>
        <v>0</v>
      </c>
      <c r="L13" s="12">
        <f>Presupuesto_Ventas!E13</f>
        <v>0</v>
      </c>
      <c r="M13" s="12">
        <f>Presupuesto_Ventas!F13</f>
        <v>0</v>
      </c>
      <c r="N13" s="12">
        <f>Presupuesto_Ventas!G13</f>
        <v>0</v>
      </c>
      <c r="O13" s="12">
        <f>Presupuesto_Ventas!H13</f>
        <v>0</v>
      </c>
      <c r="P13" s="12">
        <f t="shared" si="3"/>
        <v>0</v>
      </c>
      <c r="Q13" s="12">
        <f t="shared" si="4"/>
        <v>0</v>
      </c>
      <c r="R13" s="12">
        <f t="shared" si="5"/>
        <v>0</v>
      </c>
      <c r="S13" s="12">
        <f t="shared" si="6"/>
        <v>0</v>
      </c>
      <c r="T13" s="12">
        <f t="shared" si="7"/>
        <v>0</v>
      </c>
    </row>
    <row r="14" spans="1:20">
      <c r="A14" s="51" t="s">
        <v>5</v>
      </c>
      <c r="B14" s="53" t="s">
        <v>19</v>
      </c>
      <c r="C14" s="53" t="s">
        <v>19</v>
      </c>
      <c r="D14" s="53">
        <f>SUM(D4:D13)</f>
        <v>0</v>
      </c>
      <c r="E14" s="53" t="s">
        <v>19</v>
      </c>
      <c r="F14" s="53" t="s">
        <v>19</v>
      </c>
      <c r="G14" s="53"/>
      <c r="H14" s="53" t="s">
        <v>19</v>
      </c>
      <c r="I14" s="53" t="s">
        <v>19</v>
      </c>
      <c r="J14" s="72">
        <f>SUM(J4:J13)</f>
        <v>0.3</v>
      </c>
      <c r="K14" s="53">
        <f t="shared" ref="K14:S14" si="9">SUM(K4:K13)</f>
        <v>28680</v>
      </c>
      <c r="L14" s="53">
        <f t="shared" si="9"/>
        <v>29253.600000000002</v>
      </c>
      <c r="M14" s="53">
        <f t="shared" si="9"/>
        <v>29838.672000000002</v>
      </c>
      <c r="N14" s="53">
        <f t="shared" si="9"/>
        <v>30435.445440000003</v>
      </c>
      <c r="O14" s="53">
        <f t="shared" si="9"/>
        <v>31044.154348800002</v>
      </c>
      <c r="P14" s="53">
        <f t="shared" si="9"/>
        <v>0</v>
      </c>
      <c r="Q14" s="53">
        <f t="shared" si="9"/>
        <v>0</v>
      </c>
      <c r="R14" s="53">
        <f t="shared" si="9"/>
        <v>0</v>
      </c>
      <c r="S14" s="53">
        <f t="shared" si="9"/>
        <v>0</v>
      </c>
      <c r="T14" s="53">
        <f>SUM(T4:T13)</f>
        <v>0</v>
      </c>
    </row>
    <row r="16" spans="1:20">
      <c r="F16" s="42">
        <f>+Presupuesto_Ventas!F17</f>
        <v>149251.8717888</v>
      </c>
    </row>
    <row r="17" spans="1:16">
      <c r="H17" t="s">
        <v>184</v>
      </c>
      <c r="P17" s="43"/>
    </row>
    <row r="18" spans="1:16">
      <c r="D18" s="76" t="s">
        <v>171</v>
      </c>
      <c r="H18">
        <v>7500</v>
      </c>
    </row>
    <row r="19" spans="1:16">
      <c r="A19" s="1" t="s">
        <v>160</v>
      </c>
      <c r="B19" s="13" t="s">
        <v>165</v>
      </c>
      <c r="C19" s="13">
        <v>7000</v>
      </c>
      <c r="D19" s="78">
        <f>C19*40%</f>
        <v>2800</v>
      </c>
      <c r="G19" t="s">
        <v>179</v>
      </c>
      <c r="H19" s="42">
        <v>17500</v>
      </c>
      <c r="I19" s="43">
        <f>H19/5</f>
        <v>3500</v>
      </c>
    </row>
    <row r="20" spans="1:16">
      <c r="A20" s="1" t="s">
        <v>161</v>
      </c>
      <c r="B20" s="13" t="s">
        <v>165</v>
      </c>
      <c r="C20" s="5">
        <v>1000000</v>
      </c>
      <c r="D20" s="78">
        <f>C20*40%</f>
        <v>400000</v>
      </c>
      <c r="G20" t="s">
        <v>180</v>
      </c>
      <c r="H20" s="43">
        <v>3500</v>
      </c>
    </row>
    <row r="21" spans="1:16">
      <c r="A21" s="1" t="s">
        <v>162</v>
      </c>
      <c r="B21" s="13" t="s">
        <v>165</v>
      </c>
      <c r="C21" s="5">
        <v>50000</v>
      </c>
      <c r="D21" s="78">
        <f>C21*60%</f>
        <v>30000</v>
      </c>
      <c r="G21" t="s">
        <v>181</v>
      </c>
      <c r="H21" s="43">
        <v>3500</v>
      </c>
    </row>
    <row r="22" spans="1:16">
      <c r="A22" s="1" t="s">
        <v>163</v>
      </c>
      <c r="B22" s="13" t="s">
        <v>165</v>
      </c>
      <c r="C22" s="5">
        <v>200000</v>
      </c>
      <c r="D22" s="79">
        <f>C22*20%</f>
        <v>40000</v>
      </c>
      <c r="G22" t="s">
        <v>182</v>
      </c>
      <c r="H22" s="43">
        <v>3500</v>
      </c>
    </row>
    <row r="23" spans="1:16">
      <c r="A23" s="20" t="s">
        <v>164</v>
      </c>
      <c r="B23" s="13" t="s">
        <v>165</v>
      </c>
      <c r="C23" s="5">
        <v>5000000</v>
      </c>
      <c r="D23" s="78">
        <f>C23*40%</f>
        <v>2000000</v>
      </c>
      <c r="G23" t="s">
        <v>183</v>
      </c>
      <c r="H23" s="43">
        <v>3500</v>
      </c>
      <c r="I23" s="43">
        <f>H20+H21+H22+H23</f>
        <v>14000</v>
      </c>
    </row>
    <row r="24" spans="1:16">
      <c r="G24" t="s">
        <v>185</v>
      </c>
      <c r="H24" s="43">
        <v>3500</v>
      </c>
    </row>
  </sheetData>
  <mergeCells count="1">
    <mergeCell ref="A1:T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showGridLines="0" topLeftCell="A6" workbookViewId="0">
      <selection activeCell="D14" sqref="D14"/>
    </sheetView>
  </sheetViews>
  <sheetFormatPr baseColWidth="10" defaultColWidth="9.140625" defaultRowHeight="15"/>
  <cols>
    <col min="1" max="1" width="3.28515625" customWidth="1"/>
    <col min="2" max="2" width="35" customWidth="1"/>
    <col min="3" max="3" width="21" customWidth="1"/>
    <col min="4" max="8" width="18.5703125" bestFit="1" customWidth="1"/>
    <col min="10" max="10" width="20.7109375" bestFit="1" customWidth="1"/>
    <col min="11" max="11" width="11.5703125" bestFit="1" customWidth="1"/>
  </cols>
  <sheetData>
    <row r="1" spans="1:11">
      <c r="A1" s="95" t="s">
        <v>99</v>
      </c>
      <c r="B1" s="95"/>
      <c r="C1" s="95"/>
      <c r="D1" s="95"/>
      <c r="E1" s="95"/>
      <c r="F1" s="95"/>
      <c r="G1" s="95"/>
      <c r="H1" s="95"/>
    </row>
    <row r="2" spans="1:11">
      <c r="A2" s="96"/>
      <c r="B2" s="96"/>
      <c r="C2" s="96"/>
      <c r="D2" s="96"/>
      <c r="E2" s="96"/>
      <c r="F2" s="96"/>
      <c r="G2" s="96"/>
      <c r="H2" s="96"/>
    </row>
    <row r="3" spans="1:11" ht="28.5">
      <c r="A3" s="80" t="s">
        <v>14</v>
      </c>
      <c r="B3" s="80"/>
      <c r="C3" s="48" t="s">
        <v>42</v>
      </c>
      <c r="D3" s="48" t="s">
        <v>9</v>
      </c>
      <c r="E3" s="48" t="s">
        <v>10</v>
      </c>
      <c r="F3" s="48" t="s">
        <v>11</v>
      </c>
      <c r="G3" s="48" t="s">
        <v>12</v>
      </c>
      <c r="H3" s="48" t="s">
        <v>13</v>
      </c>
    </row>
    <row r="4" spans="1:11">
      <c r="A4" s="2" t="s">
        <v>38</v>
      </c>
      <c r="B4" s="51"/>
      <c r="C4" s="53">
        <f>SUM(C5:C16)</f>
        <v>48500000</v>
      </c>
      <c r="D4" s="53">
        <f>SUM(D5:D16)</f>
        <v>582000000</v>
      </c>
      <c r="E4" s="53">
        <f t="shared" ref="E4:H4" si="0">SUM(E5:E16)</f>
        <v>582000000</v>
      </c>
      <c r="F4" s="53">
        <f t="shared" si="0"/>
        <v>582000000</v>
      </c>
      <c r="G4" s="53">
        <f t="shared" si="0"/>
        <v>582000000</v>
      </c>
      <c r="H4" s="53">
        <f t="shared" si="0"/>
        <v>582000000</v>
      </c>
      <c r="J4" s="73" t="s">
        <v>170</v>
      </c>
      <c r="K4" s="45">
        <f>900000*3</f>
        <v>2700000</v>
      </c>
    </row>
    <row r="5" spans="1:11">
      <c r="A5" s="1"/>
      <c r="B5" s="1" t="s">
        <v>43</v>
      </c>
      <c r="C5" s="5">
        <v>40000000</v>
      </c>
      <c r="D5" s="6">
        <f>C5*12</f>
        <v>480000000</v>
      </c>
      <c r="E5" s="6">
        <f>C5*12</f>
        <v>480000000</v>
      </c>
      <c r="F5" s="6">
        <f>C5*12</f>
        <v>480000000</v>
      </c>
      <c r="G5" s="6">
        <f>C5*12</f>
        <v>480000000</v>
      </c>
      <c r="H5" s="6">
        <f>C5*12</f>
        <v>480000000</v>
      </c>
      <c r="J5" s="2" t="s">
        <v>169</v>
      </c>
      <c r="K5" s="45">
        <v>900000</v>
      </c>
    </row>
    <row r="6" spans="1:11">
      <c r="A6" s="1"/>
      <c r="B6" s="1" t="s">
        <v>44</v>
      </c>
      <c r="C6" s="5">
        <v>2000000</v>
      </c>
      <c r="D6" s="6">
        <f t="shared" ref="D6:D16" si="1">C6*12</f>
        <v>24000000</v>
      </c>
      <c r="E6" s="6">
        <f t="shared" ref="E6:E16" si="2">C6*12</f>
        <v>24000000</v>
      </c>
      <c r="F6" s="6">
        <f t="shared" ref="F6:F16" si="3">C6*12</f>
        <v>24000000</v>
      </c>
      <c r="G6" s="6">
        <f t="shared" ref="G6:G16" si="4">C6*12</f>
        <v>24000000</v>
      </c>
      <c r="H6" s="6">
        <f t="shared" ref="H6:H16" si="5">C6*12</f>
        <v>24000000</v>
      </c>
      <c r="J6" s="2" t="s">
        <v>166</v>
      </c>
      <c r="K6" s="45">
        <f>900000*2</f>
        <v>1800000</v>
      </c>
    </row>
    <row r="7" spans="1:11">
      <c r="A7" s="1"/>
      <c r="B7" s="1" t="s">
        <v>48</v>
      </c>
      <c r="C7" s="5">
        <v>0</v>
      </c>
      <c r="D7" s="6">
        <f t="shared" si="1"/>
        <v>0</v>
      </c>
      <c r="E7" s="6">
        <f t="shared" si="2"/>
        <v>0</v>
      </c>
      <c r="F7" s="6">
        <f t="shared" si="3"/>
        <v>0</v>
      </c>
      <c r="G7" s="6">
        <f t="shared" si="4"/>
        <v>0</v>
      </c>
      <c r="H7" s="6">
        <f t="shared" si="5"/>
        <v>0</v>
      </c>
      <c r="J7" s="2" t="s">
        <v>167</v>
      </c>
      <c r="K7" s="45">
        <f>4000000</f>
        <v>4000000</v>
      </c>
    </row>
    <row r="8" spans="1:11">
      <c r="A8" s="1"/>
      <c r="B8" s="1" t="s">
        <v>52</v>
      </c>
      <c r="C8" s="5">
        <v>0</v>
      </c>
      <c r="D8" s="6">
        <f t="shared" si="1"/>
        <v>0</v>
      </c>
      <c r="E8" s="6">
        <f t="shared" si="2"/>
        <v>0</v>
      </c>
      <c r="F8" s="6">
        <f t="shared" si="3"/>
        <v>0</v>
      </c>
      <c r="G8" s="6">
        <f t="shared" si="4"/>
        <v>0</v>
      </c>
      <c r="H8" s="6">
        <f t="shared" si="5"/>
        <v>0</v>
      </c>
      <c r="J8" s="2" t="s">
        <v>168</v>
      </c>
      <c r="K8" s="45">
        <v>1500000</v>
      </c>
    </row>
    <row r="9" spans="1:11">
      <c r="A9" s="1"/>
      <c r="B9" s="1" t="s">
        <v>46</v>
      </c>
      <c r="C9" s="5">
        <v>1500000</v>
      </c>
      <c r="D9" s="6">
        <f t="shared" si="1"/>
        <v>18000000</v>
      </c>
      <c r="E9" s="6">
        <f t="shared" si="2"/>
        <v>18000000</v>
      </c>
      <c r="F9" s="6">
        <f t="shared" si="3"/>
        <v>18000000</v>
      </c>
      <c r="G9" s="6">
        <f t="shared" si="4"/>
        <v>18000000</v>
      </c>
      <c r="H9" s="6">
        <f t="shared" si="5"/>
        <v>18000000</v>
      </c>
      <c r="J9" s="49" t="s">
        <v>176</v>
      </c>
      <c r="K9" s="74">
        <f>SUM(K4:K8)</f>
        <v>10900000</v>
      </c>
    </row>
    <row r="10" spans="1:11">
      <c r="A10" s="1"/>
      <c r="B10" s="1" t="s">
        <v>47</v>
      </c>
      <c r="C10" s="5">
        <v>2500000</v>
      </c>
      <c r="D10" s="6">
        <f t="shared" si="1"/>
        <v>30000000</v>
      </c>
      <c r="E10" s="6">
        <f t="shared" si="2"/>
        <v>30000000</v>
      </c>
      <c r="F10" s="6">
        <f t="shared" si="3"/>
        <v>30000000</v>
      </c>
      <c r="G10" s="6">
        <f t="shared" si="4"/>
        <v>30000000</v>
      </c>
      <c r="H10" s="6">
        <f t="shared" si="5"/>
        <v>30000000</v>
      </c>
    </row>
    <row r="11" spans="1:11">
      <c r="A11" s="1"/>
      <c r="B11" s="1" t="s">
        <v>49</v>
      </c>
      <c r="C11" s="5"/>
      <c r="D11" s="6">
        <f t="shared" si="1"/>
        <v>0</v>
      </c>
      <c r="E11" s="6">
        <f t="shared" si="2"/>
        <v>0</v>
      </c>
      <c r="F11" s="6">
        <f t="shared" si="3"/>
        <v>0</v>
      </c>
      <c r="G11" s="6">
        <f t="shared" si="4"/>
        <v>0</v>
      </c>
      <c r="H11" s="6">
        <f t="shared" si="5"/>
        <v>0</v>
      </c>
    </row>
    <row r="12" spans="1:11">
      <c r="A12" s="1"/>
      <c r="B12" s="1" t="s">
        <v>50</v>
      </c>
      <c r="C12" s="5">
        <v>2500000</v>
      </c>
      <c r="D12" s="6">
        <f t="shared" si="1"/>
        <v>30000000</v>
      </c>
      <c r="E12" s="6">
        <f t="shared" si="2"/>
        <v>30000000</v>
      </c>
      <c r="F12" s="6">
        <f t="shared" si="3"/>
        <v>30000000</v>
      </c>
      <c r="G12" s="6">
        <f t="shared" si="4"/>
        <v>30000000</v>
      </c>
      <c r="H12" s="6">
        <f t="shared" si="5"/>
        <v>30000000</v>
      </c>
    </row>
    <row r="13" spans="1:11">
      <c r="A13" s="1"/>
      <c r="B13" s="1" t="s">
        <v>51</v>
      </c>
      <c r="C13" s="5"/>
      <c r="D13" s="6">
        <f t="shared" si="1"/>
        <v>0</v>
      </c>
      <c r="E13" s="6">
        <f t="shared" si="2"/>
        <v>0</v>
      </c>
      <c r="F13" s="6">
        <f t="shared" si="3"/>
        <v>0</v>
      </c>
      <c r="G13" s="6">
        <f t="shared" si="4"/>
        <v>0</v>
      </c>
      <c r="H13" s="6">
        <f t="shared" si="5"/>
        <v>0</v>
      </c>
    </row>
    <row r="14" spans="1:11">
      <c r="A14" s="1"/>
      <c r="B14" s="1" t="s">
        <v>20</v>
      </c>
      <c r="C14" s="5"/>
      <c r="D14" s="6">
        <f t="shared" si="1"/>
        <v>0</v>
      </c>
      <c r="E14" s="6">
        <f t="shared" si="2"/>
        <v>0</v>
      </c>
      <c r="F14" s="6">
        <f t="shared" si="3"/>
        <v>0</v>
      </c>
      <c r="G14" s="6">
        <f t="shared" si="4"/>
        <v>0</v>
      </c>
      <c r="H14" s="6">
        <f t="shared" si="5"/>
        <v>0</v>
      </c>
    </row>
    <row r="15" spans="1:11">
      <c r="A15" s="1"/>
      <c r="B15" s="1" t="s">
        <v>20</v>
      </c>
      <c r="C15" s="5"/>
      <c r="D15" s="6">
        <f t="shared" si="1"/>
        <v>0</v>
      </c>
      <c r="E15" s="6">
        <f t="shared" si="2"/>
        <v>0</v>
      </c>
      <c r="F15" s="6">
        <f t="shared" si="3"/>
        <v>0</v>
      </c>
      <c r="G15" s="6">
        <f t="shared" si="4"/>
        <v>0</v>
      </c>
      <c r="H15" s="6">
        <f t="shared" si="5"/>
        <v>0</v>
      </c>
    </row>
    <row r="16" spans="1:11">
      <c r="A16" s="1"/>
      <c r="B16" s="1" t="s">
        <v>20</v>
      </c>
      <c r="C16" s="5"/>
      <c r="D16" s="6">
        <f t="shared" si="1"/>
        <v>0</v>
      </c>
      <c r="E16" s="6">
        <f t="shared" si="2"/>
        <v>0</v>
      </c>
      <c r="F16" s="6">
        <f t="shared" si="3"/>
        <v>0</v>
      </c>
      <c r="G16" s="6">
        <f t="shared" si="4"/>
        <v>0</v>
      </c>
      <c r="H16" s="6">
        <f t="shared" si="5"/>
        <v>0</v>
      </c>
    </row>
    <row r="17" spans="1:13">
      <c r="A17" s="51" t="s">
        <v>39</v>
      </c>
      <c r="B17" s="51"/>
      <c r="C17" s="4">
        <v>0</v>
      </c>
      <c r="D17" s="4">
        <f t="shared" ref="D17:H17" si="6">SUM(D18:D20)</f>
        <v>0</v>
      </c>
      <c r="E17" s="4">
        <f t="shared" si="6"/>
        <v>0</v>
      </c>
      <c r="F17" s="4">
        <f t="shared" si="6"/>
        <v>0</v>
      </c>
      <c r="G17" s="4">
        <f t="shared" si="6"/>
        <v>0</v>
      </c>
      <c r="H17" s="4">
        <f t="shared" si="6"/>
        <v>0</v>
      </c>
    </row>
    <row r="18" spans="1:13">
      <c r="A18" s="1"/>
      <c r="B18" s="1" t="s">
        <v>53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K18">
        <v>8000</v>
      </c>
      <c r="L18">
        <f>+K18/5</f>
        <v>1600</v>
      </c>
      <c r="M18">
        <f>+L18/12</f>
        <v>133.33333333333334</v>
      </c>
    </row>
    <row r="19" spans="1:13">
      <c r="A19" s="1"/>
      <c r="B19" s="1" t="s">
        <v>54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K19">
        <f>+K18*16%</f>
        <v>1280</v>
      </c>
      <c r="L19">
        <f>+K19/5</f>
        <v>256</v>
      </c>
      <c r="M19">
        <f>+L19/12</f>
        <v>21.333333333333332</v>
      </c>
    </row>
    <row r="20" spans="1:13">
      <c r="A20" s="1"/>
      <c r="B20" s="1" t="s">
        <v>55</v>
      </c>
      <c r="C20" s="5"/>
      <c r="D20" s="5"/>
      <c r="E20" s="5"/>
      <c r="F20" s="5"/>
      <c r="G20" s="5"/>
      <c r="H20" s="5"/>
    </row>
    <row r="21" spans="1:13">
      <c r="A21" s="51" t="s">
        <v>40</v>
      </c>
      <c r="B21" s="52"/>
      <c r="C21" s="4">
        <f t="shared" ref="C21:H21" si="7">SUM(C22:C23)</f>
        <v>0</v>
      </c>
      <c r="D21" s="4">
        <f t="shared" si="7"/>
        <v>0</v>
      </c>
      <c r="E21" s="4">
        <f t="shared" si="7"/>
        <v>0</v>
      </c>
      <c r="F21" s="4">
        <f t="shared" si="7"/>
        <v>0</v>
      </c>
      <c r="G21" s="4">
        <f t="shared" si="7"/>
        <v>0</v>
      </c>
      <c r="H21" s="4">
        <f t="shared" si="7"/>
        <v>0</v>
      </c>
    </row>
    <row r="22" spans="1:13">
      <c r="A22" s="1"/>
      <c r="B22" s="1" t="s">
        <v>63</v>
      </c>
      <c r="C22" s="5"/>
      <c r="D22" s="5"/>
      <c r="E22" s="5"/>
      <c r="F22" s="5"/>
      <c r="G22" s="5"/>
      <c r="H22" s="5"/>
    </row>
    <row r="23" spans="1:13">
      <c r="A23" s="1"/>
      <c r="B23" s="1" t="s">
        <v>45</v>
      </c>
      <c r="C23" s="5"/>
      <c r="D23" s="5"/>
      <c r="E23" s="5"/>
      <c r="F23" s="5"/>
      <c r="G23" s="5"/>
      <c r="H23" s="5"/>
    </row>
    <row r="24" spans="1:13">
      <c r="A24" s="49" t="s">
        <v>98</v>
      </c>
      <c r="B24" s="49"/>
      <c r="C24" s="50"/>
      <c r="D24" s="50">
        <f>D4+D17+D21</f>
        <v>582000000</v>
      </c>
      <c r="E24" s="50">
        <f>E4+E17+E21</f>
        <v>582000000</v>
      </c>
      <c r="F24" s="50">
        <f>F4+F17+F21</f>
        <v>582000000</v>
      </c>
      <c r="G24" s="50">
        <f>G4+G17+G21</f>
        <v>582000000</v>
      </c>
      <c r="H24" s="50">
        <f>H4+H17+H21</f>
        <v>582000000</v>
      </c>
    </row>
  </sheetData>
  <mergeCells count="2">
    <mergeCell ref="A3:B3"/>
    <mergeCell ref="A1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showGridLines="0" zoomScaleNormal="100" workbookViewId="0">
      <selection activeCell="G23" sqref="G23"/>
    </sheetView>
  </sheetViews>
  <sheetFormatPr baseColWidth="10" defaultColWidth="9.140625" defaultRowHeight="15"/>
  <cols>
    <col min="1" max="1" width="2.85546875" customWidth="1"/>
    <col min="2" max="2" width="42.42578125" customWidth="1"/>
    <col min="3" max="3" width="23.5703125" customWidth="1"/>
    <col min="4" max="4" width="22.42578125" customWidth="1"/>
    <col min="5" max="5" width="20.42578125" customWidth="1"/>
    <col min="6" max="6" width="20.28515625" bestFit="1" customWidth="1"/>
    <col min="7" max="7" width="20.140625" customWidth="1"/>
  </cols>
  <sheetData>
    <row r="1" spans="1:7">
      <c r="A1" s="95" t="s">
        <v>56</v>
      </c>
      <c r="B1" s="95"/>
      <c r="C1" s="95"/>
      <c r="D1" s="95"/>
      <c r="E1" s="95"/>
      <c r="F1" s="95"/>
      <c r="G1" s="95"/>
    </row>
    <row r="2" spans="1:7">
      <c r="A2" s="95"/>
      <c r="B2" s="95"/>
      <c r="C2" s="95"/>
      <c r="D2" s="95"/>
      <c r="E2" s="95"/>
      <c r="F2" s="95"/>
      <c r="G2" s="95"/>
    </row>
    <row r="3" spans="1:7">
      <c r="B3" s="75" t="s">
        <v>57</v>
      </c>
      <c r="C3" s="76" t="s">
        <v>67</v>
      </c>
      <c r="D3" s="76" t="s">
        <v>10</v>
      </c>
      <c r="E3" s="76" t="s">
        <v>11</v>
      </c>
      <c r="F3" s="76" t="s">
        <v>12</v>
      </c>
      <c r="G3" s="76" t="s">
        <v>13</v>
      </c>
    </row>
    <row r="4" spans="1:7">
      <c r="A4" s="15" t="s">
        <v>69</v>
      </c>
      <c r="B4" s="1" t="s">
        <v>58</v>
      </c>
      <c r="C4" s="3">
        <f>Presupuesto_Ventas!I14</f>
        <v>717000000</v>
      </c>
      <c r="D4" s="3">
        <f>Presupuesto_Ventas!J14</f>
        <v>731340000</v>
      </c>
      <c r="E4" s="3">
        <f>Presupuesto_Ventas!K14</f>
        <v>745966800</v>
      </c>
      <c r="F4" s="3">
        <f>Presupuesto_Ventas!L14</f>
        <v>760886136.00000012</v>
      </c>
      <c r="G4" s="3">
        <f>Presupuesto_Ventas!M14</f>
        <v>776103858.72000003</v>
      </c>
    </row>
    <row r="5" spans="1:7">
      <c r="A5" s="15" t="s">
        <v>70</v>
      </c>
      <c r="B5" s="1" t="s">
        <v>59</v>
      </c>
      <c r="C5" s="3">
        <f>Presupuesto_CostosVariables!P14</f>
        <v>0</v>
      </c>
      <c r="D5" s="3">
        <f>Presupuesto_CostosVariables!Q14</f>
        <v>0</v>
      </c>
      <c r="E5" s="3">
        <f>Presupuesto_CostosVariables!R14</f>
        <v>0</v>
      </c>
      <c r="F5" s="3">
        <f>Presupuesto_CostosVariables!S14</f>
        <v>0</v>
      </c>
      <c r="G5" s="3">
        <f>Presupuesto_CostosVariables!T14</f>
        <v>0</v>
      </c>
    </row>
    <row r="6" spans="1:7">
      <c r="A6" s="15" t="s">
        <v>71</v>
      </c>
      <c r="B6" s="2" t="s">
        <v>60</v>
      </c>
      <c r="C6" s="4">
        <f>C4-C5</f>
        <v>717000000</v>
      </c>
      <c r="D6" s="4">
        <f t="shared" ref="D6:G6" si="0">D4-D5</f>
        <v>731340000</v>
      </c>
      <c r="E6" s="4">
        <f t="shared" si="0"/>
        <v>745966800</v>
      </c>
      <c r="F6" s="4">
        <f t="shared" si="0"/>
        <v>760886136.00000012</v>
      </c>
      <c r="G6" s="4">
        <f t="shared" si="0"/>
        <v>776103858.72000003</v>
      </c>
    </row>
    <row r="7" spans="1:7">
      <c r="A7" s="15" t="s">
        <v>70</v>
      </c>
      <c r="B7" s="1" t="s">
        <v>61</v>
      </c>
      <c r="C7" s="3">
        <f>Presupuesto_CostosFijos!D4</f>
        <v>582000000</v>
      </c>
      <c r="D7" s="3">
        <f>Presupuesto_CostosFijos!E4</f>
        <v>582000000</v>
      </c>
      <c r="E7" s="3">
        <f>Presupuesto_CostosFijos!F4</f>
        <v>582000000</v>
      </c>
      <c r="F7" s="3">
        <f>Presupuesto_CostosFijos!G4</f>
        <v>582000000</v>
      </c>
      <c r="G7" s="3">
        <f>Presupuesto_CostosFijos!H4</f>
        <v>582000000</v>
      </c>
    </row>
    <row r="8" spans="1:7">
      <c r="A8" s="15" t="s">
        <v>70</v>
      </c>
      <c r="B8" s="1" t="s">
        <v>68</v>
      </c>
      <c r="C8" s="3">
        <f>Depreciaciones!Z18</f>
        <v>121572222.22222222</v>
      </c>
      <c r="D8" s="3">
        <f>Depreciaciones!AA18</f>
        <v>31572222.222222224</v>
      </c>
      <c r="E8" s="3">
        <f>Depreciaciones!AB18</f>
        <v>31572222.222222224</v>
      </c>
      <c r="F8" s="3">
        <f>Depreciaciones!AC18</f>
        <v>24772222.222222224</v>
      </c>
      <c r="G8" s="3">
        <f>Depreciaciones!AD18</f>
        <v>24772222.222222224</v>
      </c>
    </row>
    <row r="9" spans="1:7">
      <c r="A9" s="15" t="s">
        <v>71</v>
      </c>
      <c r="B9" s="2" t="s">
        <v>62</v>
      </c>
      <c r="C9" s="4">
        <f>C6-C7-C8</f>
        <v>13427777.777777776</v>
      </c>
      <c r="D9" s="4">
        <f t="shared" ref="D9:G9" si="1">D6-D7-D8</f>
        <v>117767777.77777778</v>
      </c>
      <c r="E9" s="4">
        <f t="shared" si="1"/>
        <v>132394577.77777778</v>
      </c>
      <c r="F9" s="4">
        <f t="shared" si="1"/>
        <v>154113913.77777791</v>
      </c>
      <c r="G9" s="4">
        <f t="shared" si="1"/>
        <v>169331636.49777782</v>
      </c>
    </row>
    <row r="10" spans="1:7">
      <c r="A10" s="15" t="s">
        <v>70</v>
      </c>
      <c r="B10" s="1" t="s">
        <v>63</v>
      </c>
      <c r="C10" s="3">
        <f>Presupuesto_CostosFijos!D21</f>
        <v>0</v>
      </c>
      <c r="D10" s="3">
        <f>Presupuesto_CostosFijos!E21</f>
        <v>0</v>
      </c>
      <c r="E10" s="3">
        <f>Presupuesto_CostosFijos!F21</f>
        <v>0</v>
      </c>
      <c r="F10" s="3">
        <f>Presupuesto_CostosFijos!G21</f>
        <v>0</v>
      </c>
      <c r="G10" s="3">
        <f>Presupuesto_CostosFijos!H21</f>
        <v>0</v>
      </c>
    </row>
    <row r="11" spans="1:7">
      <c r="A11" s="15" t="s">
        <v>71</v>
      </c>
      <c r="B11" s="2" t="s">
        <v>64</v>
      </c>
      <c r="C11" s="4">
        <f>C9-C10</f>
        <v>13427777.777777776</v>
      </c>
      <c r="D11" s="4">
        <f t="shared" ref="D11:G11" si="2">D9-D10</f>
        <v>117767777.77777778</v>
      </c>
      <c r="E11" s="4">
        <f t="shared" si="2"/>
        <v>132394577.77777778</v>
      </c>
      <c r="F11" s="4">
        <f t="shared" si="2"/>
        <v>154113913.77777791</v>
      </c>
      <c r="G11" s="4">
        <f t="shared" si="2"/>
        <v>169331636.49777782</v>
      </c>
    </row>
    <row r="12" spans="1:7">
      <c r="A12" s="15" t="s">
        <v>70</v>
      </c>
      <c r="B12" s="1" t="s">
        <v>65</v>
      </c>
      <c r="C12" s="3">
        <f>Presupuesto_CostosFijos!D19+Presupuesto_CostosFijos!D20</f>
        <v>0</v>
      </c>
      <c r="D12" s="3">
        <f>Presupuesto_CostosFijos!E19+Presupuesto_CostosFijos!E20</f>
        <v>0</v>
      </c>
      <c r="E12" s="3">
        <f>Presupuesto_CostosFijos!F19+Presupuesto_CostosFijos!F20</f>
        <v>0</v>
      </c>
      <c r="F12" s="3">
        <f>Presupuesto_CostosFijos!G19+Presupuesto_CostosFijos!G20</f>
        <v>0</v>
      </c>
      <c r="G12" s="3">
        <f>Presupuesto_CostosFijos!H19+Presupuesto_CostosFijos!H20</f>
        <v>0</v>
      </c>
    </row>
    <row r="13" spans="1:7">
      <c r="A13" s="15" t="s">
        <v>71</v>
      </c>
      <c r="B13" s="49" t="s">
        <v>66</v>
      </c>
      <c r="C13" s="50">
        <f>C11-C12</f>
        <v>13427777.777777776</v>
      </c>
      <c r="D13" s="50">
        <f t="shared" ref="D13:G13" si="3">D11-D12</f>
        <v>117767777.77777778</v>
      </c>
      <c r="E13" s="50">
        <f t="shared" si="3"/>
        <v>132394577.77777778</v>
      </c>
      <c r="F13" s="50">
        <f t="shared" si="3"/>
        <v>154113913.77777791</v>
      </c>
      <c r="G13" s="50">
        <f t="shared" si="3"/>
        <v>169331636.49777782</v>
      </c>
    </row>
  </sheetData>
  <mergeCells count="1">
    <mergeCell ref="A1:G2"/>
  </mergeCells>
  <pageMargins left="0.7" right="0.7" top="0.75" bottom="0.75" header="0.3" footer="0.3"/>
  <pageSetup orientation="portrait" r:id="rId1"/>
  <ignoredErrors>
    <ignoredError sqref="C12:G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4"/>
  <sheetViews>
    <sheetView showGridLines="0" topLeftCell="A5" zoomScaleNormal="100" workbookViewId="0">
      <selection activeCell="B21" sqref="B21:H21"/>
    </sheetView>
  </sheetViews>
  <sheetFormatPr baseColWidth="10" defaultColWidth="9.140625" defaultRowHeight="15"/>
  <cols>
    <col min="1" max="1" width="2.85546875" customWidth="1"/>
    <col min="2" max="2" width="62.85546875" customWidth="1"/>
    <col min="3" max="3" width="21.140625" bestFit="1" customWidth="1"/>
    <col min="4" max="8" width="20.28515625" bestFit="1" customWidth="1"/>
  </cols>
  <sheetData>
    <row r="1" spans="1:8">
      <c r="A1" s="95" t="s">
        <v>72</v>
      </c>
      <c r="B1" s="95"/>
      <c r="C1" s="95"/>
      <c r="D1" s="95"/>
      <c r="E1" s="95"/>
      <c r="F1" s="95"/>
      <c r="G1" s="95"/>
      <c r="H1" s="95"/>
    </row>
    <row r="2" spans="1:8">
      <c r="A2" s="95"/>
      <c r="B2" s="95"/>
      <c r="C2" s="95"/>
      <c r="D2" s="95"/>
      <c r="E2" s="95"/>
      <c r="F2" s="95"/>
      <c r="G2" s="95"/>
      <c r="H2" s="95"/>
    </row>
    <row r="3" spans="1:8">
      <c r="B3" s="75" t="s">
        <v>57</v>
      </c>
      <c r="C3" s="77" t="s">
        <v>8</v>
      </c>
      <c r="D3" s="77" t="s">
        <v>67</v>
      </c>
      <c r="E3" s="77" t="s">
        <v>10</v>
      </c>
      <c r="F3" s="77" t="s">
        <v>11</v>
      </c>
      <c r="G3" s="77" t="s">
        <v>12</v>
      </c>
      <c r="H3" s="77" t="s">
        <v>13</v>
      </c>
    </row>
    <row r="4" spans="1:8">
      <c r="A4" s="15" t="s">
        <v>69</v>
      </c>
      <c r="B4" s="1" t="s">
        <v>58</v>
      </c>
      <c r="C4" s="16">
        <v>0</v>
      </c>
      <c r="D4" s="3">
        <f>Presupuesto_Ventas!I14</f>
        <v>717000000</v>
      </c>
      <c r="E4" s="3">
        <f>Presupuesto_Ventas!J14</f>
        <v>731340000</v>
      </c>
      <c r="F4" s="3">
        <f>Presupuesto_Ventas!K14</f>
        <v>745966800</v>
      </c>
      <c r="G4" s="3">
        <f>Presupuesto_Ventas!L14</f>
        <v>760886136.00000012</v>
      </c>
      <c r="H4" s="3">
        <f>Presupuesto_Ventas!M14</f>
        <v>776103858.72000003</v>
      </c>
    </row>
    <row r="5" spans="1:8">
      <c r="A5" s="15" t="s">
        <v>70</v>
      </c>
      <c r="B5" s="1" t="s">
        <v>59</v>
      </c>
      <c r="C5" s="16">
        <v>0</v>
      </c>
      <c r="D5" s="8">
        <f>Presupuesto_CostosVariables!P14</f>
        <v>0</v>
      </c>
      <c r="E5" s="8">
        <f>Presupuesto_CostosVariables!Q14</f>
        <v>0</v>
      </c>
      <c r="F5" s="8">
        <f>Presupuesto_CostosVariables!R14</f>
        <v>0</v>
      </c>
      <c r="G5" s="8">
        <f>Presupuesto_CostosVariables!S14</f>
        <v>0</v>
      </c>
      <c r="H5" s="8">
        <f>Presupuesto_CostosVariables!T14</f>
        <v>0</v>
      </c>
    </row>
    <row r="6" spans="1:8">
      <c r="A6" s="15" t="s">
        <v>71</v>
      </c>
      <c r="B6" s="1" t="s">
        <v>60</v>
      </c>
      <c r="C6" s="16">
        <v>0</v>
      </c>
      <c r="D6" s="8">
        <f>D4-D5</f>
        <v>717000000</v>
      </c>
      <c r="E6" s="8">
        <f t="shared" ref="E6:H6" si="0">E4-E5</f>
        <v>731340000</v>
      </c>
      <c r="F6" s="8">
        <f t="shared" si="0"/>
        <v>745966800</v>
      </c>
      <c r="G6" s="8">
        <f t="shared" si="0"/>
        <v>760886136.00000012</v>
      </c>
      <c r="H6" s="8">
        <f t="shared" si="0"/>
        <v>776103858.72000003</v>
      </c>
    </row>
    <row r="7" spans="1:8">
      <c r="A7" s="15" t="s">
        <v>70</v>
      </c>
      <c r="B7" s="1" t="s">
        <v>61</v>
      </c>
      <c r="C7" s="16">
        <v>0</v>
      </c>
      <c r="D7" s="8">
        <f>Presupuesto_CostosFijos!D4</f>
        <v>582000000</v>
      </c>
      <c r="E7" s="8">
        <f>Presupuesto_CostosFijos!E4</f>
        <v>582000000</v>
      </c>
      <c r="F7" s="8">
        <f>Presupuesto_CostosFijos!F4</f>
        <v>582000000</v>
      </c>
      <c r="G7" s="8">
        <f>Presupuesto_CostosFijos!G4</f>
        <v>582000000</v>
      </c>
      <c r="H7" s="8">
        <f>Presupuesto_CostosFijos!H4</f>
        <v>582000000</v>
      </c>
    </row>
    <row r="8" spans="1:8">
      <c r="A8" s="15" t="s">
        <v>70</v>
      </c>
      <c r="B8" s="1" t="s">
        <v>68</v>
      </c>
      <c r="C8" s="16">
        <v>0</v>
      </c>
      <c r="D8" s="8">
        <f>Depreciaciones!Z18</f>
        <v>121572222.22222222</v>
      </c>
      <c r="E8" s="8">
        <f>Depreciaciones!AA18</f>
        <v>31572222.222222224</v>
      </c>
      <c r="F8" s="8">
        <f>Depreciaciones!AB18</f>
        <v>31572222.222222224</v>
      </c>
      <c r="G8" s="8">
        <f>Depreciaciones!AC18</f>
        <v>24772222.222222224</v>
      </c>
      <c r="H8" s="8">
        <f>Depreciaciones!AD18</f>
        <v>24772222.222222224</v>
      </c>
    </row>
    <row r="9" spans="1:8">
      <c r="A9" s="15" t="s">
        <v>71</v>
      </c>
      <c r="B9" s="1" t="s">
        <v>62</v>
      </c>
      <c r="C9" s="16">
        <v>0</v>
      </c>
      <c r="D9" s="8">
        <f>D6-D7-D8</f>
        <v>13427777.777777776</v>
      </c>
      <c r="E9" s="8">
        <f t="shared" ref="E9:H9" si="1">E6-E7-E8</f>
        <v>117767777.77777778</v>
      </c>
      <c r="F9" s="8">
        <f t="shared" si="1"/>
        <v>132394577.77777778</v>
      </c>
      <c r="G9" s="8">
        <f t="shared" si="1"/>
        <v>154113913.77777791</v>
      </c>
      <c r="H9" s="8">
        <f t="shared" si="1"/>
        <v>169331636.49777782</v>
      </c>
    </row>
    <row r="10" spans="1:8">
      <c r="A10" s="15" t="s">
        <v>70</v>
      </c>
      <c r="B10" s="1" t="s">
        <v>63</v>
      </c>
      <c r="C10" s="16">
        <v>0</v>
      </c>
      <c r="D10" s="8">
        <f>Presupuesto_CostosFijos!D22+Presupuesto_CostosFijos!D23</f>
        <v>0</v>
      </c>
      <c r="E10" s="8">
        <f>Presupuesto_CostosFijos!E22+Presupuesto_CostosFijos!E23</f>
        <v>0</v>
      </c>
      <c r="F10" s="8">
        <f>Presupuesto_CostosFijos!F22+Presupuesto_CostosFijos!F23</f>
        <v>0</v>
      </c>
      <c r="G10" s="8">
        <f>Presupuesto_CostosFijos!G22+Presupuesto_CostosFijos!G23</f>
        <v>0</v>
      </c>
      <c r="H10" s="8">
        <f>Presupuesto_CostosFijos!H22+Presupuesto_CostosFijos!H23</f>
        <v>0</v>
      </c>
    </row>
    <row r="11" spans="1:8">
      <c r="A11" s="15" t="s">
        <v>71</v>
      </c>
      <c r="B11" s="1" t="s">
        <v>64</v>
      </c>
      <c r="C11" s="16">
        <v>0</v>
      </c>
      <c r="D11" s="8">
        <f>D9-D10</f>
        <v>13427777.777777776</v>
      </c>
      <c r="E11" s="8">
        <f t="shared" ref="E11:H11" si="2">E9-E10</f>
        <v>117767777.77777778</v>
      </c>
      <c r="F11" s="8">
        <f t="shared" si="2"/>
        <v>132394577.77777778</v>
      </c>
      <c r="G11" s="8">
        <f t="shared" si="2"/>
        <v>154113913.77777791</v>
      </c>
      <c r="H11" s="8">
        <f t="shared" si="2"/>
        <v>169331636.49777782</v>
      </c>
    </row>
    <row r="12" spans="1:8">
      <c r="A12" s="15" t="s">
        <v>69</v>
      </c>
      <c r="B12" s="1" t="s">
        <v>68</v>
      </c>
      <c r="C12" s="16">
        <v>0</v>
      </c>
      <c r="D12" s="3">
        <f>Depreciaciones!Z18</f>
        <v>121572222.22222222</v>
      </c>
      <c r="E12" s="3">
        <f>Depreciaciones!AA18</f>
        <v>31572222.222222224</v>
      </c>
      <c r="F12" s="3">
        <f>Depreciaciones!AB18</f>
        <v>31572222.222222224</v>
      </c>
      <c r="G12" s="3">
        <f>Depreciaciones!AC18</f>
        <v>24772222.222222224</v>
      </c>
      <c r="H12" s="3">
        <f>Depreciaciones!AD18</f>
        <v>24772222.222222224</v>
      </c>
    </row>
    <row r="13" spans="1:8">
      <c r="A13" s="15" t="s">
        <v>71</v>
      </c>
      <c r="B13" s="2" t="s">
        <v>73</v>
      </c>
      <c r="C13" s="17">
        <v>0</v>
      </c>
      <c r="D13" s="4">
        <f>D11+D12</f>
        <v>135000000</v>
      </c>
      <c r="E13" s="4">
        <f t="shared" ref="E13:H13" si="3">E11+E12</f>
        <v>149340000</v>
      </c>
      <c r="F13" s="4">
        <f t="shared" si="3"/>
        <v>163966800</v>
      </c>
      <c r="G13" s="4">
        <f t="shared" si="3"/>
        <v>178886136.00000012</v>
      </c>
      <c r="H13" s="4">
        <f t="shared" si="3"/>
        <v>194103858.72000003</v>
      </c>
    </row>
    <row r="14" spans="1:8">
      <c r="A14" s="15" t="s">
        <v>70</v>
      </c>
      <c r="B14" s="1" t="s">
        <v>81</v>
      </c>
      <c r="C14" s="3">
        <f>Presupuesto_Inversiones!C24</f>
        <v>60000000</v>
      </c>
      <c r="D14" s="3">
        <f>Presupuesto_Inversiones!D24</f>
        <v>0</v>
      </c>
      <c r="E14" s="3">
        <f>Presupuesto_Inversiones!E24</f>
        <v>0</v>
      </c>
      <c r="F14" s="3">
        <f>Presupuesto_Inversiones!F24</f>
        <v>0</v>
      </c>
      <c r="G14" s="3">
        <f>Presupuesto_Inversiones!G24</f>
        <v>0</v>
      </c>
      <c r="H14" s="3">
        <f>Presupuesto_Inversiones!H24</f>
        <v>0</v>
      </c>
    </row>
    <row r="15" spans="1:8">
      <c r="A15" s="15" t="s">
        <v>71</v>
      </c>
      <c r="B15" s="2" t="s">
        <v>74</v>
      </c>
      <c r="C15" s="4">
        <f>C13-C14</f>
        <v>-60000000</v>
      </c>
      <c r="D15" s="4">
        <f t="shared" ref="D15:H15" si="4">D13-D14</f>
        <v>135000000</v>
      </c>
      <c r="E15" s="4">
        <f t="shared" si="4"/>
        <v>149340000</v>
      </c>
      <c r="F15" s="4">
        <f t="shared" si="4"/>
        <v>163966800</v>
      </c>
      <c r="G15" s="4">
        <f t="shared" si="4"/>
        <v>178886136.00000012</v>
      </c>
      <c r="H15" s="4">
        <f t="shared" si="4"/>
        <v>194103858.72000003</v>
      </c>
    </row>
    <row r="16" spans="1:8">
      <c r="A16" s="15" t="s">
        <v>70</v>
      </c>
      <c r="B16" s="1" t="s">
        <v>80</v>
      </c>
      <c r="C16" s="3">
        <f>Presupuesto_Inversiones!C4+Presupuesto_Inversiones!C17</f>
        <v>775100000</v>
      </c>
      <c r="D16" s="3">
        <f>Presupuesto_Inversiones!D4+Presupuesto_Inversiones!D17</f>
        <v>0</v>
      </c>
      <c r="E16" s="3">
        <f>Presupuesto_Inversiones!E4+Presupuesto_Inversiones!E17</f>
        <v>0</v>
      </c>
      <c r="F16" s="3">
        <f>Presupuesto_Inversiones!F4+Presupuesto_Inversiones!F17</f>
        <v>0</v>
      </c>
      <c r="G16" s="3">
        <f>Presupuesto_Inversiones!G4+Presupuesto_Inversiones!G17</f>
        <v>0</v>
      </c>
      <c r="H16" s="3">
        <f>Presupuesto_Inversiones!H4+Presupuesto_Inversiones!H17</f>
        <v>0</v>
      </c>
    </row>
    <row r="17" spans="1:8">
      <c r="A17" s="15" t="s">
        <v>69</v>
      </c>
      <c r="B17" s="1" t="s">
        <v>75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3">
        <f>Depreciaciones!AF18</f>
        <v>539638888.88888884</v>
      </c>
    </row>
    <row r="18" spans="1:8">
      <c r="A18" s="15" t="s">
        <v>71</v>
      </c>
      <c r="B18" s="2" t="s">
        <v>76</v>
      </c>
      <c r="C18" s="4">
        <f>C15-C16+C17</f>
        <v>-835100000</v>
      </c>
      <c r="D18" s="4">
        <f t="shared" ref="D18:H18" si="5">D15-D16+D17</f>
        <v>135000000</v>
      </c>
      <c r="E18" s="4">
        <f t="shared" si="5"/>
        <v>149340000</v>
      </c>
      <c r="F18" s="4">
        <f t="shared" si="5"/>
        <v>163966800</v>
      </c>
      <c r="G18" s="4">
        <f t="shared" si="5"/>
        <v>178886136.00000012</v>
      </c>
      <c r="H18" s="4">
        <f t="shared" si="5"/>
        <v>733742747.60888886</v>
      </c>
    </row>
    <row r="19" spans="1:8">
      <c r="A19" s="15" t="s">
        <v>70</v>
      </c>
      <c r="B19" s="1" t="s">
        <v>77</v>
      </c>
      <c r="C19" s="16"/>
      <c r="D19" s="3">
        <f>Presupuesto_CostosFijos!D19+Presupuesto_CostosFijos!D20</f>
        <v>0</v>
      </c>
      <c r="E19" s="3">
        <f>Presupuesto_CostosFijos!E19+Presupuesto_CostosFijos!E20</f>
        <v>0</v>
      </c>
      <c r="F19" s="3">
        <f>Presupuesto_CostosFijos!F19+Presupuesto_CostosFijos!F20</f>
        <v>0</v>
      </c>
      <c r="G19" s="3">
        <f>Presupuesto_CostosFijos!G19+Presupuesto_CostosFijos!G20</f>
        <v>0</v>
      </c>
      <c r="H19" s="3">
        <f>Presupuesto_CostosFijos!H19+Presupuesto_CostosFijos!H20</f>
        <v>0</v>
      </c>
    </row>
    <row r="20" spans="1:8">
      <c r="A20" s="15" t="s">
        <v>70</v>
      </c>
      <c r="B20" s="1" t="s">
        <v>78</v>
      </c>
      <c r="C20" s="16"/>
      <c r="D20" s="3">
        <f>Presupuesto_CostosFijos!D18</f>
        <v>0</v>
      </c>
      <c r="E20" s="3">
        <f>Presupuesto_CostosFijos!E18</f>
        <v>0</v>
      </c>
      <c r="F20" s="3">
        <f>Presupuesto_CostosFijos!F18</f>
        <v>0</v>
      </c>
      <c r="G20" s="3">
        <f>Presupuesto_CostosFijos!G18</f>
        <v>0</v>
      </c>
      <c r="H20" s="3">
        <f>Presupuesto_CostosFijos!H18</f>
        <v>0</v>
      </c>
    </row>
    <row r="21" spans="1:8">
      <c r="A21" s="15" t="s">
        <v>71</v>
      </c>
      <c r="B21" s="49" t="s">
        <v>79</v>
      </c>
      <c r="C21" s="50">
        <f>C18-C19-C20</f>
        <v>-835100000</v>
      </c>
      <c r="D21" s="50">
        <f t="shared" ref="D21:H21" si="6">D18-D19-D20</f>
        <v>135000000</v>
      </c>
      <c r="E21" s="50">
        <f t="shared" si="6"/>
        <v>149340000</v>
      </c>
      <c r="F21" s="50">
        <f t="shared" si="6"/>
        <v>163966800</v>
      </c>
      <c r="G21" s="50">
        <f t="shared" si="6"/>
        <v>178886136.00000012</v>
      </c>
      <c r="H21" s="50">
        <f t="shared" si="6"/>
        <v>733742747.60888886</v>
      </c>
    </row>
    <row r="22" spans="1:8" hidden="1">
      <c r="B22" s="20" t="s">
        <v>104</v>
      </c>
      <c r="C22" s="19">
        <f>C21</f>
        <v>-835100000</v>
      </c>
      <c r="D22" s="19">
        <f>C22+D21</f>
        <v>-700100000</v>
      </c>
      <c r="E22" s="19">
        <f t="shared" ref="E22:H22" si="7">D22+E21</f>
        <v>-550760000</v>
      </c>
      <c r="F22" s="19">
        <f t="shared" si="7"/>
        <v>-386793200</v>
      </c>
      <c r="G22" s="19">
        <f t="shared" si="7"/>
        <v>-207907063.99999988</v>
      </c>
      <c r="H22" s="19">
        <f t="shared" si="7"/>
        <v>525835683.60888898</v>
      </c>
    </row>
    <row r="24" spans="1:8">
      <c r="D24" s="43">
        <f>+(D21-H21)/D21</f>
        <v>-4.4351314637695474</v>
      </c>
    </row>
  </sheetData>
  <mergeCells count="1">
    <mergeCell ref="A1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showGridLines="0" zoomScale="130" zoomScaleNormal="130" workbookViewId="0">
      <selection activeCell="D13" sqref="D13"/>
    </sheetView>
  </sheetViews>
  <sheetFormatPr baseColWidth="10" defaultColWidth="9.140625" defaultRowHeight="15"/>
  <cols>
    <col min="2" max="2" width="34" bestFit="1" customWidth="1"/>
    <col min="3" max="3" width="17.5703125" bestFit="1" customWidth="1"/>
    <col min="4" max="4" width="73" bestFit="1" customWidth="1"/>
  </cols>
  <sheetData>
    <row r="1" spans="1:4">
      <c r="A1" s="91" t="s">
        <v>72</v>
      </c>
      <c r="B1" s="91"/>
      <c r="C1" s="91"/>
      <c r="D1" s="91"/>
    </row>
    <row r="2" spans="1:4">
      <c r="A2" s="92"/>
      <c r="B2" s="92"/>
      <c r="C2" s="92"/>
      <c r="D2" s="92"/>
    </row>
    <row r="3" spans="1:4">
      <c r="A3" s="97" t="s">
        <v>84</v>
      </c>
      <c r="B3" s="97"/>
      <c r="C3" s="18" t="s">
        <v>82</v>
      </c>
      <c r="D3" s="18" t="s">
        <v>83</v>
      </c>
    </row>
    <row r="4" spans="1:4">
      <c r="A4" s="1" t="s">
        <v>96</v>
      </c>
      <c r="B4" s="1" t="s">
        <v>97</v>
      </c>
      <c r="C4" s="27">
        <f>IFERROR(Presupuesto_CostosFijos!D24/Presupuesto_CostosVariables!J14,"")</f>
        <v>1940000000</v>
      </c>
      <c r="D4" s="1" t="s">
        <v>118</v>
      </c>
    </row>
    <row r="5" spans="1:4">
      <c r="A5" s="1" t="s">
        <v>90</v>
      </c>
      <c r="B5" s="1" t="s">
        <v>89</v>
      </c>
      <c r="C5" s="22">
        <f>+(48500-42500)/48500</f>
        <v>0.12371134020618557</v>
      </c>
      <c r="D5" s="1" t="s">
        <v>101</v>
      </c>
    </row>
    <row r="6" spans="1:4">
      <c r="A6" s="1" t="s">
        <v>85</v>
      </c>
      <c r="B6" s="1" t="s">
        <v>87</v>
      </c>
      <c r="C6" s="23">
        <f>NPV(C5,Flujo_Efectivo!D21:H21)+Flujo_Efectivo!C21</f>
        <v>40567288.337302327</v>
      </c>
      <c r="D6" s="1" t="s">
        <v>93</v>
      </c>
    </row>
    <row r="7" spans="1:4">
      <c r="A7" s="1" t="s">
        <v>86</v>
      </c>
      <c r="B7" s="1" t="s">
        <v>88</v>
      </c>
      <c r="C7" s="46">
        <f>IFERROR(IRR(Flujo_Efectivo!C21:H21),"")</f>
        <v>0.13845394720969773</v>
      </c>
      <c r="D7" s="1" t="s">
        <v>91</v>
      </c>
    </row>
    <row r="8" spans="1:4">
      <c r="A8" s="1" t="s">
        <v>92</v>
      </c>
      <c r="B8" s="1" t="s">
        <v>102</v>
      </c>
      <c r="C8" s="24">
        <f>IFERROR(NPV(Indicadores_Rentabilidad!C5,Flujo_Efectivo!D21:H21)/Presupuesto_Inversiones!C29,"")</f>
        <v>1.0485777611511224</v>
      </c>
      <c r="D8" s="1" t="s">
        <v>94</v>
      </c>
    </row>
    <row r="9" spans="1:4">
      <c r="A9" s="1" t="s">
        <v>95</v>
      </c>
      <c r="B9" s="1" t="s">
        <v>103</v>
      </c>
      <c r="C9" s="25" t="str">
        <f>IF(Flujo_Efectivo!D22&gt;0,"Año 1", IF(Flujo_Efectivo!E22&gt;0,"Año 2",IF(Flujo_Efectivo!F22&gt;0, "Año 3",IF( Flujo_Efectivo!G22&gt;0, "Año 4",IF(Flujo_Efectivo!H22&gt;0,"Año 5","No se recupera")))))</f>
        <v>Año 5</v>
      </c>
      <c r="D9" s="1" t="s">
        <v>105</v>
      </c>
    </row>
  </sheetData>
  <mergeCells count="2">
    <mergeCell ref="A3:B3"/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Presupuesto_Inversiones</vt:lpstr>
      <vt:lpstr>Depreciaciones</vt:lpstr>
      <vt:lpstr>Presupuesto_Ventas</vt:lpstr>
      <vt:lpstr>Presupuesto_CostosVariables</vt:lpstr>
      <vt:lpstr>Presupuesto_CostosFijos</vt:lpstr>
      <vt:lpstr>Estado_Resultados</vt:lpstr>
      <vt:lpstr>Flujo_Efectivo</vt:lpstr>
      <vt:lpstr>Indicadores_Rentabilidad</vt:lpstr>
    </vt:vector>
  </TitlesOfParts>
  <Company>U S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PrudencioGC</dc:creator>
  <cp:lastModifiedBy>Principal</cp:lastModifiedBy>
  <dcterms:created xsi:type="dcterms:W3CDTF">2018-02-14T17:52:15Z</dcterms:created>
  <dcterms:modified xsi:type="dcterms:W3CDTF">2024-10-29T16:56:47Z</dcterms:modified>
</cp:coreProperties>
</file>